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2.xml" ContentType="application/vnd.openxmlformats-officedocument.spreadsheetml.table+xml"/>
  <Override PartName="/xl/tables/table1.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1AED2BDD-1FA3-CEF2-32D4-FBADEFEB71EE}"/>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state="hidden"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<sst xmlns="http://schemas.openxmlformats.org/spreadsheetml/2006/main" count="340" uniqueCount="215">
  <si>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</si>
  <si>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</si>
  <si>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</si>
  <si>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</si>
  <si>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</si>
  <si>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</si>
  <si>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</si>
  <si>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</si>
  <si>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</si>
  <si>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</si>
  <si>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</si>
  <si>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</si>
  <si>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</si>
  <si>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</si>
  <si>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</si>
  <si>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</si>
  <si>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</si>
  <si>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</si>
  <si>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</si>
  <si>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</si>
  <si>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</si>
  <si>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</si>
  <si>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</si>
  <si>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</si>
  <si>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</si>
  <si>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</si>
  <si>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</si>
  <si>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</si>
  <si>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</si>
  <si>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</si>
  <si>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</si>
  <si>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</si>
  <si>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</si>
  <si>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</si>
  <si>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</si>
  <si>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</si>
  <si>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</si>
  <si>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</si>
  <si>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</si>
  <si>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</si>
  <si>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</si>
  <si>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</si>
  <si>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</si>
  <si>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</si>
  <si>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</si>
  <si>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</si>
  <si>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</si>
  <si>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</si>
  <si>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</si>
  <si>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</si>
  <si>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</si>
  <si>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</si>
  <si>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</si>
  <si>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</si>
  <si>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</si>
  <si>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</si>
  <si>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</si>
  <si>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</si>
  <si>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</si>
  <si>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</si>
  <si>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</si>
  <si>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</si>
  <si>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</si>
  <si>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</si>
  <si>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</si>
  <si>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</si>
  <si>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</si>
  <si>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</si>
  <si>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</si>
  <si>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</si>
  <si>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</si>
  <si>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</si>
  <si>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</si>
  <si>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</si>
  <si>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</si>
  <si>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</si>
  <si>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</si>
  <si>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</si>
  <si>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</si>
  <si>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</si>
  <si>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</si>
  <si>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</si>
  <si>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</si>
  <si>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</si>
  <si>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</si>
  <si>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</si>
  <si>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</si>
  <si>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</si>
  <si>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</si>
  <si>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</si>
  <si>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</si>
  <si>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</si>
  <si>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</si>
  <si>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</si>
  <si>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</si>
  <si>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</si>
  <si>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</si>
  <si>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</si>
  <si>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</si>
  <si>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</si>
  <si>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</si>
  <si>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</si>
  <si>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</si>
  <si>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</si>
  <si>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</si>
  <si>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</si>
  <si>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</si>
  <si>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</si>
  <si>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</si>
  <si>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</si>
  <si>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</si>
  <si>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</si>
  <si>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</si>
  <si>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</si>
  <si>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</si>
  <si>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</si>
  <si>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</si>
  <si>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</si>
  <si>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</si>
  <si>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</si>
  <si>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</si>
  <si>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</si>
  <si>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</si>
  <si>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</si>
  <si>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</si>
  <si>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</si>
  <si>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</si>
  <si>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</si>
  <si>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</si>
  <si>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</si>
  <si>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</si>
  <si>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</si>
  <si>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</si>
  <si>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</si>
  <si>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</si>
  <si>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</si>
  <si>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</si>
  <si>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</si>
  <si>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Energy Savings</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</si>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</sst>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0.0000"/>
    <numFmt numFmtId="179" formatCode="mm/yyyy"/>
    <numFmt numFmtId="180" formatCode="General"/>
    <numFmt numFmtId="181" formatCode="0"/>
    <numFmt numFmtId="182" formatCode="#,##0"/>
    <numFmt numFmtId="183" formatCode="0.00"/>
    <numFmt numFmtId="184"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00"/>
        <bgColor indexed="64"/>
      </patternFill>
    </fill>
    <fill>
      <patternFill patternType="solid">
        <fgColor rgb="FFFFFFCC"/>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
      <left/>
      <right style="thick"/>
      <top style="medium"/>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8">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0" fontId="33" fillId="0" borderId="0" xfId="0" applyFont="1" applyAlignment="1">
      <alignment wrapText="1"/>
    </xf>
    <xf numFmtId="1" fontId="2" fillId="2" borderId="71" xfId="0" applyNumberFormat="1" applyFont="1" applyFill="1" applyBorder="1" applyAlignment="1">
      <alignment horizontal="center"/>
    </xf>
    <xf numFmtId="0" fontId="0" fillId="0" borderId="0" xfId="0" applyFill="1" applyAlignment="1">
      <alignment wrapText="1"/>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168" fontId="0" fillId="0" borderId="0" xfId="0" applyNumberFormat="1" applyFill="1"/>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0" fontId="33" fillId="0" borderId="0" xfId="0" applyFont="1" applyAlignment="1">
      <alignment horizontal="center" wrapText="1"/>
    </xf>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 fontId="33" fillId="0" borderId="0" xfId="0" applyNumberFormat="1" applyFont="1" applyAlignment="1">
      <alignment horizontal="center" wrapText="1"/>
    </xf>
    <xf numFmtId="3" fontId="0" fillId="0"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178" fontId="0" fillId="2" borderId="46" xfId="0" applyNumberFormat="1" applyFill="1" applyBorder="1" applyAlignment="1">
      <alignment horizontal="center" vertical="center"/>
    </xf>
    <xf numFmtId="178" fontId="0" fillId="2" borderId="47" xfId="0" applyNumberFormat="1" applyFill="1" applyBorder="1" applyAlignment="1">
      <alignment horizontal="center" vertical="center"/>
    </xf>
    <xf numFmtId="178" fontId="0" fillId="2" borderId="48" xfId="0" applyNumberFormat="1" applyFill="1" applyBorder="1" applyAlignment="1">
      <alignment horizontal="center" vertical="center"/>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9" fontId="8" fillId="13"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168" fontId="35" fillId="14" borderId="87" xfId="0" applyNumberFormat="1" applyFont="1" applyFill="1" applyBorder="1" applyAlignment="1" applyProtection="1">
      <alignment horizontal="center" vertical="top" wrapText="1"/>
      <protection locked="0"/>
    </xf>
    <xf numFmtId="168" fontId="35" fillId="14" borderId="88" xfId="0" applyNumberFormat="1" applyFont="1" applyFill="1" applyBorder="1" applyAlignment="1" applyProtection="1">
      <alignment horizontal="center" vertical="top" wrapText="1"/>
      <protection locked="0"/>
    </xf>
    <xf numFmtId="168" fontId="35" fillId="14"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4" fillId="16" borderId="96" xfId="0" applyFont="1" applyFill="1" applyBorder="1" applyAlignment="1" applyProtection="1">
      <alignment horizontal="center" vertical="center" wrapText="1"/>
      <protection/>
    </xf>
    <xf numFmtId="0" fontId="0" fillId="0" borderId="97" xfId="0" applyBorder="1" applyAlignment="1" applyProtection="1">
      <alignment horizontal="center" vertical="center" wrapText="1"/>
      <protection/>
    </xf>
    <xf numFmtId="0" fontId="0" fillId="0" borderId="98"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102" xfId="0" applyBorder="1" applyAlignment="1" applyProtection="1">
      <alignment horizontal="center" vertical="center" wrapText="1"/>
      <protection/>
    </xf>
    <xf numFmtId="0" fontId="10" fillId="3" borderId="85" xfId="0" applyFont="1" applyFill="1" applyBorder="1" applyAlignment="1" applyProtection="1">
      <alignment horizontal="left"/>
      <protection locked="0"/>
    </xf>
    <xf numFmtId="0" fontId="10" fillId="3" borderId="103" xfId="0" applyFont="1" applyFill="1" applyBorder="1" applyAlignment="1" applyProtection="1">
      <alignment horizontal="left"/>
      <protection locked="0"/>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0" fontId="14" fillId="0" borderId="104" xfId="0" applyFont="1" applyBorder="1" applyAlignment="1" applyProtection="1">
      <alignment horizontal="center" vertical="center" wrapText="1"/>
      <protection/>
    </xf>
    <xf numFmtId="0" fontId="14" fillId="0" borderId="105" xfId="0" applyFont="1" applyBorder="1" applyAlignment="1" applyProtection="1">
      <alignment horizontal="center" vertical="center" wrapText="1"/>
      <protection/>
    </xf>
    <xf numFmtId="0" fontId="14" fillId="0" borderId="106"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107" xfId="0" applyFont="1" applyFill="1" applyBorder="1" applyAlignment="1" applyProtection="1">
      <alignment horizontal="center" vertical="center" wrapText="1"/>
      <protection locked="0"/>
    </xf>
    <xf numFmtId="0" fontId="8" fillId="3" borderId="108" xfId="0" applyFont="1" applyFill="1" applyBorder="1" applyAlignment="1" applyProtection="1">
      <alignment horizontal="center" vertical="center" wrapText="1"/>
      <protection locked="0"/>
    </xf>
    <xf numFmtId="0" fontId="8" fillId="3" borderId="109" xfId="0" applyFont="1" applyFill="1" applyBorder="1" applyAlignment="1" applyProtection="1">
      <alignment horizontal="center" vertical="center" wrapText="1"/>
      <protection locked="0"/>
    </xf>
    <xf numFmtId="0" fontId="9" fillId="3" borderId="110" xfId="0" applyFont="1" applyFill="1" applyBorder="1" applyAlignment="1" applyProtection="1">
      <alignment horizontal="left" vertical="top" wrapText="1"/>
      <protection locked="0"/>
    </xf>
    <xf numFmtId="0" fontId="8" fillId="3" borderId="111" xfId="0" applyFont="1" applyFill="1" applyBorder="1" applyAlignment="1" applyProtection="1">
      <alignment horizontal="left" vertical="top" wrapText="1"/>
      <protection locked="0"/>
    </xf>
    <xf numFmtId="0" fontId="8" fillId="3" borderId="112"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3"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13" xfId="0" applyFont="1" applyBorder="1" applyAlignment="1" applyProtection="1">
      <alignment horizontal="center" vertical="center" wrapText="1"/>
      <protection/>
    </xf>
    <xf numFmtId="0" fontId="22" fillId="0" borderId="114" xfId="0" applyFont="1" applyBorder="1" applyAlignment="1" applyProtection="1">
      <alignment horizontal="center" vertical="center"/>
      <protection/>
    </xf>
    <xf numFmtId="0" fontId="22" fillId="0" borderId="115" xfId="0" applyFont="1" applyBorder="1" applyAlignment="1" applyProtection="1">
      <alignment horizontal="center" vertical="center"/>
      <protection/>
    </xf>
    <xf numFmtId="0" fontId="10" fillId="3" borderId="111" xfId="0" applyFont="1" applyFill="1" applyBorder="1" applyAlignment="1" applyProtection="1">
      <alignment horizontal="left"/>
      <protection locked="0"/>
    </xf>
    <xf numFmtId="0" fontId="10" fillId="3" borderId="116" xfId="0" applyFont="1" applyFill="1" applyBorder="1" applyAlignment="1" applyProtection="1">
      <alignment horizontal="left"/>
      <protection locked="0"/>
    </xf>
    <xf numFmtId="0" fontId="10" fillId="3" borderId="117" xfId="0" applyFont="1" applyFill="1" applyBorder="1" applyAlignment="1" applyProtection="1">
      <alignment horizontal="left"/>
      <protection locked="0"/>
    </xf>
    <xf numFmtId="0" fontId="10" fillId="3" borderId="111" xfId="0" applyFont="1" applyFill="1" applyBorder="1" applyAlignment="1" applyProtection="1">
      <alignment horizontal="center"/>
      <protection locked="0"/>
    </xf>
    <xf numFmtId="0" fontId="10" fillId="3" borderId="116" xfId="0" applyFont="1" applyFill="1" applyBorder="1" applyAlignment="1" applyProtection="1">
      <alignment horizontal="center"/>
      <protection locked="0"/>
    </xf>
    <xf numFmtId="0" fontId="24" fillId="0" borderId="118" xfId="0" applyFont="1" applyBorder="1" applyAlignment="1" applyProtection="1">
      <alignment horizontal="center" vertical="center" wrapText="1"/>
      <protection/>
    </xf>
    <xf numFmtId="0" fontId="24" fillId="0" borderId="119" xfId="0" applyFont="1" applyBorder="1" applyAlignment="1" applyProtection="1">
      <alignment horizontal="center" vertical="center" wrapText="1"/>
      <protection/>
    </xf>
    <xf numFmtId="0" fontId="24" fillId="0" borderId="120" xfId="0" applyFont="1" applyBorder="1" applyAlignment="1" applyProtection="1">
      <alignment horizontal="center" vertical="center" wrapText="1"/>
      <protection/>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0" fillId="11" borderId="0" xfId="0" applyFill="1" applyBorder="1" applyAlignment="1">
      <alignment horizontal="center" vertical="center"/>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80" formatCode="General"/>
      <border>
        <left style="thin"/>
      </border>
    </dxf>
    <dxf>
      <numFmt numFmtId="180" formatCode="General"/>
      <border>
        <right style="thin"/>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182" formatCode="#,##0"/>
    </dxf>
    <dxf>
      <numFmt numFmtId="182"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3"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1"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1"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27560652"/>
        <c:axId val="46719277"/>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17820310"/>
        <c:axId val="26165063"/>
      </c:barChart>
      <c:catAx>
        <c:axId val="2756065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46719277"/>
        <c:crosses val="autoZero"/>
        <c:auto val="1"/>
        <c:lblOffset val="100"/>
        <c:noMultiLvlLbl val="0"/>
      </c:catAx>
      <c:valAx>
        <c:axId val="46719277"/>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7560652"/>
        <c:crosses val="autoZero"/>
        <c:crossBetween val="between"/>
        <c:dispUnits/>
      </c:valAx>
      <c:catAx>
        <c:axId val="17820310"/>
        <c:scaling>
          <c:orientation val="minMax"/>
        </c:scaling>
        <c:axPos val="b"/>
        <c:delete val="1"/>
        <c:majorTickMark val="out"/>
        <c:minorTickMark val="none"/>
        <c:tickLblPos val="nextTo"/>
        <c:crossAx val="26165063"/>
        <c:crosses val="autoZero"/>
        <c:auto val="1"/>
        <c:lblOffset val="100"/>
        <c:noMultiLvlLbl val="0"/>
      </c:catAx>
      <c:valAx>
        <c:axId val="26165063"/>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7820310"/>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34158976"/>
        <c:axId val="38995329"/>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15413642"/>
        <c:axId val="4505051"/>
      </c:barChart>
      <c:catAx>
        <c:axId val="3415897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38995329"/>
        <c:crosses val="autoZero"/>
        <c:auto val="1"/>
        <c:lblOffset val="100"/>
        <c:noMultiLvlLbl val="0"/>
      </c:catAx>
      <c:valAx>
        <c:axId val="38995329"/>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34158976"/>
        <c:crosses val="autoZero"/>
        <c:crossBetween val="between"/>
        <c:dispUnits/>
      </c:valAx>
      <c:catAx>
        <c:axId val="15413642"/>
        <c:scaling>
          <c:orientation val="minMax"/>
        </c:scaling>
        <c:axPos val="b"/>
        <c:delete val="1"/>
        <c:majorTickMark val="out"/>
        <c:minorTickMark val="none"/>
        <c:tickLblPos val="nextTo"/>
        <c:crossAx val="4505051"/>
        <c:crosses val="autoZero"/>
        <c:auto val="1"/>
        <c:lblOffset val="100"/>
        <c:noMultiLvlLbl val="0"/>
      </c:catAx>
      <c:valAx>
        <c:axId val="4505051"/>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5413642"/>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Aug 2017 - Jul 2018</c:v>
              </c:pt>
              <c:pt idx="1">
                <c:v>Aug 2018 - Jul 2019</c:v>
              </c:pt>
              <c:pt idx="2">
                <c:v>Aug 2019 - Jul 2020</c:v>
              </c:pt>
              <c:pt idx="3">
                <c:v>Aug 2020 - Jul 2021</c:v>
              </c:pt>
              <c:pt idx="4">
                <c:v>Aug 2021 - Jul 2022</c:v>
              </c:pt>
              <c:pt idx="5">
                <c:v>Aug 2022 - Jul 2023</c:v>
              </c:pt>
              <c:pt idx="6">
                <c:v>Aug 2023 - Jul 2024</c:v>
              </c:pt>
            </c:strLit>
          </c:cat>
          <c:val>
            <c:numRef>
              <c:f>'Background Calculations'!$Z$109:$Z$115</c:f>
              <c:numCache/>
            </c:numRef>
          </c:val>
        </c:ser>
        <c:gapWidth val="219"/>
        <c:axId val="40545460"/>
        <c:axId val="29364821"/>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62956798"/>
        <c:axId val="29740271"/>
      </c:lineChart>
      <c:catAx>
        <c:axId val="4054546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29364821"/>
        <c:crosses val="autoZero"/>
        <c:auto val="1"/>
        <c:lblOffset val="100"/>
        <c:noMultiLvlLbl val="0"/>
      </c:catAx>
      <c:valAx>
        <c:axId val="29364821"/>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40545460"/>
        <c:crosses val="autoZero"/>
        <c:crossBetween val="between"/>
        <c:dispUnits/>
      </c:valAx>
      <c:catAx>
        <c:axId val="62956798"/>
        <c:scaling>
          <c:orientation val="minMax"/>
        </c:scaling>
        <c:axPos val="b"/>
        <c:delete val="1"/>
        <c:majorTickMark val="out"/>
        <c:minorTickMark val="none"/>
        <c:tickLblPos val="nextTo"/>
        <c:crossAx val="29740271"/>
        <c:crosses val="autoZero"/>
        <c:auto val="1"/>
        <c:lblOffset val="100"/>
        <c:noMultiLvlLbl val="0"/>
      </c:catAx>
      <c:valAx>
        <c:axId val="29740271"/>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62956798"/>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66335848"/>
        <c:axId val="60151721"/>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4494578"/>
        <c:axId val="40451203"/>
      </c:lineChart>
      <c:catAx>
        <c:axId val="663358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60151721"/>
        <c:crosses val="autoZero"/>
        <c:auto val="1"/>
        <c:lblOffset val="100"/>
        <c:noMultiLvlLbl val="0"/>
      </c:catAx>
      <c:valAx>
        <c:axId val="60151721"/>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66335848"/>
        <c:crosses val="autoZero"/>
        <c:crossBetween val="between"/>
        <c:dispUnits/>
      </c:valAx>
      <c:catAx>
        <c:axId val="4494578"/>
        <c:scaling>
          <c:orientation val="minMax"/>
        </c:scaling>
        <c:axPos val="b"/>
        <c:delete val="1"/>
        <c:majorTickMark val="out"/>
        <c:minorTickMark val="none"/>
        <c:tickLblPos val="nextTo"/>
        <c:crossAx val="40451203"/>
        <c:crosses val="autoZero"/>
        <c:auto val="1"/>
        <c:lblOffset val="100"/>
        <c:noMultiLvlLbl val="0"/>
      </c:catAx>
      <c:valAx>
        <c:axId val="40451203"/>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494578"/>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28516508"/>
        <c:axId val="55321981"/>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28135782"/>
        <c:axId val="51895447"/>
      </c:lineChart>
      <c:dateAx>
        <c:axId val="28516508"/>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321981"/>
        <c:crosses val="autoZero"/>
        <c:auto val="1"/>
        <c:baseTimeUnit val="months"/>
        <c:noMultiLvlLbl val="0"/>
      </c:dateAx>
      <c:valAx>
        <c:axId val="5532198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516508"/>
        <c:crosses val="autoZero"/>
        <c:crossBetween val="between"/>
        <c:dispUnits/>
      </c:valAx>
      <c:dateAx>
        <c:axId val="28135782"/>
        <c:scaling>
          <c:orientation val="minMax"/>
        </c:scaling>
        <c:axPos val="b"/>
        <c:delete val="1"/>
        <c:majorTickMark val="out"/>
        <c:minorTickMark val="none"/>
        <c:tickLblPos val="nextTo"/>
        <c:crossAx val="51895447"/>
        <c:crosses val="autoZero"/>
        <c:auto val="1"/>
        <c:baseTimeUnit val="months"/>
        <c:majorUnit val="1"/>
        <c:majorTimeUnit val="days"/>
        <c:minorUnit val="1"/>
        <c:minorTimeUnit val="days"/>
        <c:noMultiLvlLbl val="0"/>
      </c:dateAx>
      <c:valAx>
        <c:axId val="51895447"/>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135782"/>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64405840"/>
        <c:axId val="42781649"/>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49490522"/>
        <c:axId val="42761515"/>
      </c:lineChart>
      <c:dateAx>
        <c:axId val="64405840"/>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781649"/>
        <c:crosses val="autoZero"/>
        <c:auto val="1"/>
        <c:baseTimeUnit val="months"/>
        <c:noMultiLvlLbl val="0"/>
      </c:dateAx>
      <c:valAx>
        <c:axId val="42781649"/>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405840"/>
        <c:crosses val="autoZero"/>
        <c:crossBetween val="between"/>
        <c:dispUnits/>
      </c:valAx>
      <c:dateAx>
        <c:axId val="49490522"/>
        <c:scaling>
          <c:orientation val="minMax"/>
        </c:scaling>
        <c:axPos val="b"/>
        <c:delete val="1"/>
        <c:majorTickMark val="out"/>
        <c:minorTickMark val="none"/>
        <c:tickLblPos val="nextTo"/>
        <c:crossAx val="42761515"/>
        <c:crosses val="autoZero"/>
        <c:auto val="1"/>
        <c:baseTimeUnit val="months"/>
        <c:noMultiLvlLbl val="0"/>
      </c:dateAx>
      <c:valAx>
        <c:axId val="42761515"/>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490522"/>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49309316"/>
        <c:axId val="41130661"/>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34631630"/>
        <c:axId val="43249215"/>
      </c:lineChart>
      <c:dateAx>
        <c:axId val="49309316"/>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130661"/>
        <c:crosses val="autoZero"/>
        <c:auto val="1"/>
        <c:baseTimeUnit val="months"/>
        <c:noMultiLvlLbl val="0"/>
      </c:dateAx>
      <c:valAx>
        <c:axId val="41130661"/>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309316"/>
        <c:crosses val="autoZero"/>
        <c:crossBetween val="between"/>
        <c:dispUnits/>
      </c:valAx>
      <c:dateAx>
        <c:axId val="34631630"/>
        <c:scaling>
          <c:orientation val="minMax"/>
        </c:scaling>
        <c:axPos val="b"/>
        <c:delete val="1"/>
        <c:majorTickMark val="out"/>
        <c:minorTickMark val="none"/>
        <c:tickLblPos val="nextTo"/>
        <c:crossAx val="43249215"/>
        <c:crosses val="autoZero"/>
        <c:auto val="1"/>
        <c:baseTimeUnit val="months"/>
        <c:majorUnit val="1"/>
        <c:majorTimeUnit val="days"/>
        <c:minorUnit val="1"/>
        <c:minorTimeUnit val="days"/>
        <c:noMultiLvlLbl val="0"/>
      </c:dateAx>
      <c:valAx>
        <c:axId val="43249215"/>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631630"/>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53698616"/>
        <c:axId val="13525497"/>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54620610"/>
        <c:axId val="21823443"/>
      </c:lineChart>
      <c:dateAx>
        <c:axId val="53698616"/>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525497"/>
        <c:crosses val="autoZero"/>
        <c:auto val="1"/>
        <c:baseTimeUnit val="months"/>
        <c:noMultiLvlLbl val="0"/>
      </c:dateAx>
      <c:valAx>
        <c:axId val="13525497"/>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698616"/>
        <c:crosses val="autoZero"/>
        <c:crossBetween val="between"/>
        <c:dispUnits/>
      </c:valAx>
      <c:catAx>
        <c:axId val="54620610"/>
        <c:scaling>
          <c:orientation val="minMax"/>
        </c:scaling>
        <c:axPos val="b"/>
        <c:delete val="1"/>
        <c:majorTickMark val="out"/>
        <c:minorTickMark val="none"/>
        <c:tickLblPos val="nextTo"/>
        <c:crossAx val="21823443"/>
        <c:crosses val="autoZero"/>
        <c:auto val="1"/>
        <c:lblOffset val="100"/>
        <c:noMultiLvlLbl val="0"/>
      </c:catAx>
      <c:valAx>
        <c:axId val="21823443"/>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620610"/>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5"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6"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5"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5"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6"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4"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61950" y="152400"/>
          <a:ext cx="797242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57225"/>
          <a:ext cx="4191000"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52650" y="581025"/>
          <a:ext cx="4391025"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905750"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ontrol" Target="../activeX/activeX3.xml" /><Relationship Id="rId6" Type="http://schemas.openxmlformats.org/officeDocument/2006/relationships/control" Target="../activeX/activeX2.xml" /><Relationship Id="rId4" Type="http://schemas.openxmlformats.org/officeDocument/2006/relationships/control" Target="../activeX/activeX1.xml" /><Relationship Id="rId10" Type="http://schemas.openxmlformats.org/officeDocument/2006/relationships/control" Target="../activeX/activeX4.xml" /><Relationship Id="rId5" Type="http://schemas.openxmlformats.org/officeDocument/2006/relationships/image" Target="../media/image1.emf" /><Relationship Id="rId9" Type="http://schemas.openxmlformats.org/officeDocument/2006/relationships/image" Target="../media/image3.emf" /><Relationship Id="rId11" Type="http://schemas.openxmlformats.org/officeDocument/2006/relationships/image" Target="../media/image4.emf" /><Relationship Id="rId7"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I8" sqref="I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1" t="s">
        <v>211</v>
      </c>
      <c r="C2" s="512"/>
      <c r="D2" s="512"/>
      <c r="E2" s="512"/>
      <c r="F2" s="512"/>
      <c r="G2" s="512"/>
      <c r="H2" s="513"/>
      <c r="I2" s="2"/>
      <c r="J2" s="2"/>
    </row>
    <row r="3" spans="1:10" ht="20.15" customHeight="1">
      <c r="A3" s="4"/>
      <c r="B3" s="514"/>
      <c r="C3" s="515"/>
      <c r="D3" s="515"/>
      <c r="E3" s="515"/>
      <c r="F3" s="515"/>
      <c r="G3" s="515"/>
      <c r="H3" s="516"/>
      <c r="I3" s="2"/>
      <c r="J3" s="2"/>
    </row>
    <row r="4" spans="1:10" ht="25.9" customHeight="1" thickBot="1">
      <c r="A4" s="4"/>
      <c r="B4" s="517"/>
      <c r="C4" s="518"/>
      <c r="D4" s="518"/>
      <c r="E4" s="518"/>
      <c r="F4" s="518"/>
      <c r="G4" s="518"/>
      <c r="H4" s="519"/>
      <c r="I4" s="2"/>
      <c r="J4" s="2"/>
    </row>
    <row r="5" ht="15" thickBot="1"/>
    <row r="6" spans="1:8" ht="18" customHeight="1">
      <c r="A6" s="5"/>
      <c r="B6" s="523" t="s">
        <v>214</v>
      </c>
      <c r="C6" s="524"/>
      <c r="D6" s="524"/>
      <c r="E6" s="524"/>
      <c r="F6" s="524"/>
      <c r="G6" s="524"/>
      <c r="H6" s="525"/>
    </row>
    <row r="7" spans="1:8" ht="18" customHeight="1">
      <c r="A7" s="6"/>
      <c r="B7" s="526"/>
      <c r="C7" s="527"/>
      <c r="D7" s="527"/>
      <c r="E7" s="527"/>
      <c r="F7" s="527"/>
      <c r="G7" s="527"/>
      <c r="H7" s="528"/>
    </row>
    <row r="8" spans="2:8" ht="91.5" customHeight="1" thickBot="1">
      <c r="B8" s="529"/>
      <c r="C8" s="530"/>
      <c r="D8" s="530"/>
      <c r="E8" s="530"/>
      <c r="F8" s="530"/>
      <c r="G8" s="530"/>
      <c r="H8" s="531"/>
    </row>
    <row r="9" spans="2:8" ht="18" customHeight="1">
      <c r="B9" s="162"/>
      <c r="C9" s="162"/>
      <c r="D9" s="162"/>
      <c r="E9" s="162"/>
      <c r="F9" s="162"/>
      <c r="G9" s="162"/>
      <c r="H9" s="162"/>
    </row>
    <row r="10" spans="1:3" ht="18" customHeight="1" thickBot="1">
      <c r="A10" s="7"/>
      <c r="B10" s="7"/>
      <c r="C10" s="7"/>
    </row>
    <row r="11" spans="1:8" ht="20.15" customHeight="1" thickBot="1">
      <c r="A11" s="7"/>
      <c r="B11" s="520" t="s">
        <v>112</v>
      </c>
      <c r="C11" s="521"/>
      <c r="D11" s="521"/>
      <c r="E11" s="521"/>
      <c r="F11" s="480"/>
      <c r="G11" s="480"/>
      <c r="H11" s="481"/>
    </row>
    <row r="12" spans="1:8" ht="20.15" customHeight="1">
      <c r="A12" s="7"/>
      <c r="B12" s="522" t="s">
        <v>203</v>
      </c>
      <c r="C12" s="497"/>
      <c r="D12" s="497"/>
      <c r="E12" s="497"/>
      <c r="F12" s="497"/>
      <c r="G12" s="497"/>
      <c r="H12" s="498"/>
    </row>
    <row r="13" spans="1:8" ht="20.15" customHeight="1">
      <c r="A13" s="7"/>
      <c r="B13" s="496"/>
      <c r="C13" s="497"/>
      <c r="D13" s="497"/>
      <c r="E13" s="497"/>
      <c r="F13" s="497"/>
      <c r="G13" s="497"/>
      <c r="H13" s="498"/>
    </row>
    <row r="14" spans="1:8" ht="20.15" customHeight="1">
      <c r="A14" s="7"/>
      <c r="B14" s="496"/>
      <c r="C14" s="497"/>
      <c r="D14" s="497"/>
      <c r="E14" s="497"/>
      <c r="F14" s="497"/>
      <c r="G14" s="497"/>
      <c r="H14" s="498"/>
    </row>
    <row r="15" spans="1:8" ht="266.25" customHeight="1" thickBot="1">
      <c r="A15" s="7"/>
      <c r="B15" s="499"/>
      <c r="C15" s="500"/>
      <c r="D15" s="500"/>
      <c r="E15" s="500"/>
      <c r="F15" s="500"/>
      <c r="G15" s="500"/>
      <c r="H15" s="501"/>
    </row>
    <row r="16" spans="1:5" ht="18.75" customHeight="1" thickBot="1">
      <c r="A16" s="7"/>
      <c r="B16" s="8"/>
      <c r="C16" s="8"/>
      <c r="D16" s="8"/>
      <c r="E16" s="8"/>
    </row>
    <row r="17" spans="1:8" ht="18.75" customHeight="1" thickBot="1">
      <c r="A17" s="7"/>
      <c r="B17" s="478" t="s">
        <v>113</v>
      </c>
      <c r="C17" s="479"/>
      <c r="D17" s="482"/>
      <c r="E17" s="480"/>
      <c r="F17" s="480"/>
      <c r="G17" s="480"/>
      <c r="H17" s="481"/>
    </row>
    <row r="18" spans="1:8" ht="24.75" customHeight="1">
      <c r="A18" s="7"/>
      <c r="B18" s="493" t="s">
        <v>204</v>
      </c>
      <c r="C18" s="494"/>
      <c r="D18" s="494"/>
      <c r="E18" s="494"/>
      <c r="F18" s="494"/>
      <c r="G18" s="494"/>
      <c r="H18" s="495"/>
    </row>
    <row r="19" spans="1:8" ht="20.15" customHeight="1">
      <c r="A19" s="7"/>
      <c r="B19" s="496"/>
      <c r="C19" s="497"/>
      <c r="D19" s="497"/>
      <c r="E19" s="497"/>
      <c r="F19" s="497"/>
      <c r="G19" s="497"/>
      <c r="H19" s="498"/>
    </row>
    <row r="20" spans="1:8" ht="20.15" customHeight="1">
      <c r="A20" s="7"/>
      <c r="B20" s="496"/>
      <c r="C20" s="497"/>
      <c r="D20" s="497"/>
      <c r="E20" s="497"/>
      <c r="F20" s="497"/>
      <c r="G20" s="497"/>
      <c r="H20" s="498"/>
    </row>
    <row r="21" spans="1:8" ht="20.15" customHeight="1">
      <c r="A21" s="7"/>
      <c r="B21" s="496"/>
      <c r="C21" s="497"/>
      <c r="D21" s="497"/>
      <c r="E21" s="497"/>
      <c r="F21" s="497"/>
      <c r="G21" s="497"/>
      <c r="H21" s="498"/>
    </row>
    <row r="22" spans="1:8" ht="20.15" customHeight="1">
      <c r="A22" s="7"/>
      <c r="B22" s="496"/>
      <c r="C22" s="497"/>
      <c r="D22" s="497"/>
      <c r="E22" s="497"/>
      <c r="F22" s="497"/>
      <c r="G22" s="497"/>
      <c r="H22" s="498"/>
    </row>
    <row r="23" spans="1:8" ht="20.15" customHeight="1">
      <c r="A23" s="7"/>
      <c r="B23" s="496"/>
      <c r="C23" s="497"/>
      <c r="D23" s="497"/>
      <c r="E23" s="497"/>
      <c r="F23" s="497"/>
      <c r="G23" s="497"/>
      <c r="H23" s="498"/>
    </row>
    <row r="24" spans="1:8" ht="20.15" customHeight="1">
      <c r="A24" s="7"/>
      <c r="B24" s="496"/>
      <c r="C24" s="497"/>
      <c r="D24" s="497"/>
      <c r="E24" s="497"/>
      <c r="F24" s="497"/>
      <c r="G24" s="497"/>
      <c r="H24" s="498"/>
    </row>
    <row r="25" spans="1:8" ht="20.15" customHeight="1">
      <c r="A25" s="7"/>
      <c r="B25" s="496"/>
      <c r="C25" s="497"/>
      <c r="D25" s="497"/>
      <c r="E25" s="497"/>
      <c r="F25" s="497"/>
      <c r="G25" s="497"/>
      <c r="H25" s="498"/>
    </row>
    <row r="26" spans="2:8" ht="20.15" customHeight="1">
      <c r="B26" s="496"/>
      <c r="C26" s="497"/>
      <c r="D26" s="497"/>
      <c r="E26" s="497"/>
      <c r="F26" s="497"/>
      <c r="G26" s="497"/>
      <c r="H26" s="498"/>
    </row>
    <row r="27" spans="2:8" ht="20.15" customHeight="1">
      <c r="B27" s="496"/>
      <c r="C27" s="497"/>
      <c r="D27" s="497"/>
      <c r="E27" s="497"/>
      <c r="F27" s="497"/>
      <c r="G27" s="497"/>
      <c r="H27" s="498"/>
    </row>
    <row r="28" spans="2:8" ht="20.15" customHeight="1">
      <c r="B28" s="496"/>
      <c r="C28" s="497"/>
      <c r="D28" s="497"/>
      <c r="E28" s="497"/>
      <c r="F28" s="497"/>
      <c r="G28" s="497"/>
      <c r="H28" s="498"/>
    </row>
    <row r="29" spans="2:8" ht="20.15" customHeight="1">
      <c r="B29" s="496"/>
      <c r="C29" s="497"/>
      <c r="D29" s="497"/>
      <c r="E29" s="497"/>
      <c r="F29" s="497"/>
      <c r="G29" s="497"/>
      <c r="H29" s="498"/>
    </row>
    <row r="30" spans="2:8" ht="20.15" customHeight="1">
      <c r="B30" s="496"/>
      <c r="C30" s="497"/>
      <c r="D30" s="497"/>
      <c r="E30" s="497"/>
      <c r="F30" s="497"/>
      <c r="G30" s="497"/>
      <c r="H30" s="498"/>
    </row>
    <row r="31" spans="2:8" ht="21.75" customHeight="1" thickBot="1">
      <c r="B31" s="499"/>
      <c r="C31" s="500"/>
      <c r="D31" s="500"/>
      <c r="E31" s="500"/>
      <c r="F31" s="500"/>
      <c r="G31" s="500"/>
      <c r="H31" s="501"/>
    </row>
    <row r="32" spans="2:8" ht="21.75" customHeight="1" thickBot="1">
      <c r="B32" s="368"/>
      <c r="C32" s="368"/>
      <c r="D32" s="368"/>
      <c r="E32" s="368"/>
      <c r="F32" s="368"/>
      <c r="G32" s="368"/>
      <c r="H32" s="368"/>
    </row>
    <row r="33" spans="2:8" ht="18.75" customHeight="1" thickBot="1">
      <c r="B33" s="478" t="s">
        <v>205</v>
      </c>
      <c r="C33" s="476"/>
      <c r="D33" s="476"/>
      <c r="E33" s="476"/>
      <c r="F33" s="476"/>
      <c r="G33" s="476"/>
      <c r="H33" s="477"/>
    </row>
    <row r="34" spans="2:8" ht="270.75" customHeight="1" thickBot="1">
      <c r="B34" s="532" t="s">
        <v>206</v>
      </c>
      <c r="C34" s="533"/>
      <c r="D34" s="533"/>
      <c r="E34" s="533"/>
      <c r="F34" s="533"/>
      <c r="G34" s="533"/>
      <c r="H34" s="534"/>
    </row>
    <row r="35" spans="2:8" ht="20.25" customHeight="1" thickBot="1">
      <c r="B35" s="368"/>
      <c r="C35" s="368"/>
      <c r="D35" s="368"/>
      <c r="E35" s="368"/>
      <c r="F35" s="368"/>
      <c r="G35" s="368"/>
      <c r="H35" s="369"/>
    </row>
    <row r="36" spans="2:8" ht="20.25" customHeight="1" thickBot="1">
      <c r="B36" s="478" t="s">
        <v>208</v>
      </c>
      <c r="C36" s="476"/>
      <c r="D36" s="476"/>
      <c r="E36" s="476"/>
      <c r="F36" s="476"/>
      <c r="G36" s="476"/>
      <c r="H36" s="477"/>
    </row>
    <row r="37" spans="2:8" ht="150.75" customHeight="1" thickBot="1">
      <c r="B37" s="532" t="s">
        <v>210</v>
      </c>
      <c r="C37" s="533"/>
      <c r="D37" s="533"/>
      <c r="E37" s="533"/>
      <c r="F37" s="533"/>
      <c r="G37" s="533"/>
      <c r="H37" s="534"/>
    </row>
    <row r="38" spans="2:8" ht="18.75" customHeight="1" thickBot="1">
      <c r="B38" s="370"/>
      <c r="C38" s="159"/>
      <c r="D38" s="159"/>
      <c r="E38" s="159"/>
      <c r="F38" s="159"/>
      <c r="G38" s="159"/>
      <c r="H38" s="160"/>
    </row>
    <row r="39" spans="1:8" ht="54.75" customHeight="1" thickBot="1">
      <c r="A39" s="9"/>
      <c r="B39" s="502" t="s">
        <v>209</v>
      </c>
      <c r="C39" s="503"/>
      <c r="D39" s="503"/>
      <c r="E39" s="503"/>
      <c r="F39" s="503"/>
      <c r="G39" s="503"/>
      <c r="H39" s="504"/>
    </row>
    <row r="40" spans="1:8" ht="26.25" customHeight="1">
      <c r="A40" s="10"/>
      <c r="B40" s="505" t="s">
        <v>207</v>
      </c>
      <c r="C40" s="506"/>
      <c r="D40" s="506"/>
      <c r="E40" s="506"/>
      <c r="F40" s="506"/>
      <c r="G40" s="506"/>
      <c r="H40" s="507"/>
    </row>
    <row r="41" spans="2:8" ht="21.75" customHeight="1" thickBot="1">
      <c r="B41" s="508"/>
      <c r="C41" s="509"/>
      <c r="D41" s="509"/>
      <c r="E41" s="509"/>
      <c r="F41" s="509"/>
      <c r="G41" s="509"/>
      <c r="H41" s="510"/>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
      <selection activeCell="D12" sqref="D12:F12"/>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35" t="s">
        <v>0</v>
      </c>
      <c r="C1" s="536"/>
      <c r="D1" s="536"/>
      <c r="E1" s="536"/>
      <c r="F1" s="536"/>
      <c r="G1" s="536"/>
      <c r="H1" s="537"/>
      <c r="I1" s="11"/>
      <c r="J1" s="12"/>
      <c r="K1" s="12"/>
      <c r="L1" s="12"/>
      <c r="M1" s="12"/>
      <c r="N1" s="12"/>
      <c r="O1" s="12"/>
      <c r="P1" s="12"/>
      <c r="Q1" s="12"/>
      <c r="R1" s="12"/>
      <c r="S1" s="12"/>
      <c r="T1" s="12"/>
      <c r="U1" s="12"/>
      <c r="V1" s="12"/>
      <c r="W1" s="12"/>
      <c r="X1" s="12"/>
      <c r="Y1" s="12"/>
      <c r="Z1" s="12"/>
      <c r="AA1" s="12"/>
    </row>
    <row r="2" spans="2:27" ht="15.75" customHeight="1">
      <c r="B2" s="538"/>
      <c r="C2" s="539"/>
      <c r="D2" s="539"/>
      <c r="E2" s="539"/>
      <c r="F2" s="539"/>
      <c r="G2" s="539"/>
      <c r="H2" s="540"/>
      <c r="I2" s="11"/>
      <c r="J2" s="12"/>
      <c r="K2" s="12"/>
      <c r="L2" s="12"/>
      <c r="M2" s="12"/>
      <c r="N2" s="12"/>
      <c r="O2" s="12"/>
      <c r="P2" s="12"/>
      <c r="Q2" s="12"/>
      <c r="R2" s="12"/>
      <c r="S2" s="12"/>
      <c r="T2" s="12"/>
      <c r="U2" s="12"/>
      <c r="V2" s="12"/>
      <c r="W2" s="12"/>
      <c r="X2" s="12"/>
      <c r="Y2" s="12"/>
      <c r="Z2" s="12"/>
      <c r="AA2" s="12"/>
    </row>
    <row r="3" spans="2:27" ht="48" customHeight="1" thickBot="1">
      <c r="B3" s="541"/>
      <c r="C3" s="542"/>
      <c r="D3" s="542"/>
      <c r="E3" s="542"/>
      <c r="F3" s="542"/>
      <c r="G3" s="542"/>
      <c r="H3" s="543"/>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58" t="s">
        <v>1</v>
      </c>
      <c r="C5" s="559"/>
      <c r="D5" s="559"/>
      <c r="E5" s="559"/>
      <c r="F5" s="559"/>
      <c r="G5" s="560"/>
      <c r="H5" s="69"/>
      <c r="I5" s="13"/>
      <c r="J5" s="13"/>
      <c r="K5" s="13"/>
      <c r="L5" s="13"/>
      <c r="M5" s="13"/>
      <c r="N5" s="13"/>
      <c r="O5" s="13"/>
      <c r="P5" s="13"/>
      <c r="Q5" s="13"/>
      <c r="R5" s="13"/>
      <c r="S5" s="13"/>
      <c r="T5" s="13"/>
      <c r="U5" s="13"/>
      <c r="V5" s="13"/>
      <c r="W5" s="13"/>
      <c r="X5" s="13"/>
      <c r="Y5" s="13"/>
      <c r="Z5" s="13"/>
      <c r="AA5" s="13"/>
    </row>
    <row r="6" spans="2:27" ht="20.25" customHeight="1">
      <c r="B6" s="561"/>
      <c r="C6" s="562"/>
      <c r="D6" s="562"/>
      <c r="E6" s="562"/>
      <c r="F6" s="562"/>
      <c r="G6" s="563"/>
      <c r="H6" s="69"/>
      <c r="I6" s="13"/>
      <c r="J6" s="13"/>
      <c r="K6" s="13"/>
      <c r="L6" s="13"/>
      <c r="M6" s="13"/>
      <c r="N6" s="13"/>
      <c r="O6" s="13"/>
      <c r="P6" s="13"/>
      <c r="Q6" s="13"/>
      <c r="R6" s="13"/>
      <c r="S6" s="13"/>
      <c r="T6" s="13"/>
      <c r="U6" s="13"/>
      <c r="V6" s="13"/>
      <c r="W6" s="13"/>
      <c r="X6" s="13"/>
      <c r="Y6" s="13"/>
      <c r="Z6" s="13"/>
      <c r="AA6" s="13"/>
    </row>
    <row r="7" spans="2:27" ht="21" customHeight="1" thickBot="1">
      <c r="B7" s="564"/>
      <c r="C7" s="565"/>
      <c r="D7" s="565"/>
      <c r="E7" s="565"/>
      <c r="F7" s="565"/>
      <c r="G7" s="566"/>
      <c r="H7" s="69"/>
      <c r="I7" s="13"/>
      <c r="J7" s="13"/>
      <c r="K7" s="13"/>
      <c r="L7" s="13"/>
      <c r="M7" s="13"/>
      <c r="N7" s="13"/>
      <c r="O7" s="13"/>
      <c r="P7" s="13"/>
      <c r="Q7" s="13"/>
      <c r="R7" s="13"/>
      <c r="S7" s="13"/>
      <c r="T7" s="13"/>
      <c r="U7" s="13"/>
      <c r="V7" s="13"/>
      <c r="W7" s="13"/>
      <c r="X7" s="13"/>
      <c r="Y7" s="13"/>
      <c r="Z7" s="13"/>
      <c r="AA7" s="13"/>
    </row>
    <row r="8" spans="2:27" ht="30" customHeight="1" thickBot="1">
      <c r="B8" s="14" t="s">
        <v>2</v>
      </c>
      <c r="C8" s="567"/>
      <c r="D8" s="568"/>
      <c r="E8" s="568"/>
      <c r="F8" s="568"/>
      <c r="G8" s="569"/>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70"/>
      <c r="D9" s="571"/>
      <c r="E9" s="571"/>
      <c r="F9" s="571"/>
      <c r="G9" s="572"/>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46" t="s">
        <v>202</v>
      </c>
      <c r="C11" s="547"/>
      <c r="D11" s="456">
        <v>43678</v>
      </c>
      <c r="E11" s="548" t="s">
        <v>201</v>
      </c>
      <c r="F11" s="549"/>
      <c r="G11" s="16"/>
      <c r="H11" s="16"/>
      <c r="I11" s="17"/>
      <c r="J11" s="18"/>
      <c r="K11" s="18"/>
      <c r="L11" s="18"/>
    </row>
    <row r="12" spans="2:12" ht="58.5" customHeight="1" thickBot="1">
      <c r="B12" s="550" t="s">
        <v>4</v>
      </c>
      <c r="C12" s="551"/>
      <c r="D12" s="552"/>
      <c r="E12" s="553"/>
      <c r="F12" s="553"/>
      <c r="G12" s="16"/>
      <c r="H12" s="16"/>
      <c r="I12" s="17"/>
      <c r="J12" s="18"/>
      <c r="K12" s="18"/>
      <c r="L12" s="18"/>
    </row>
    <row r="13" spans="2:12" ht="20.5" thickBot="1">
      <c r="B13" s="550" t="s">
        <v>5</v>
      </c>
      <c r="C13" s="551"/>
      <c r="D13" s="554"/>
      <c r="E13" s="554"/>
      <c r="F13" s="554"/>
      <c r="G13" s="16"/>
      <c r="H13" s="16"/>
      <c r="I13" s="17"/>
      <c r="J13" s="18"/>
      <c r="K13" s="18"/>
      <c r="L13" s="18"/>
    </row>
    <row r="14" spans="2:12" ht="15" thickBot="1">
      <c r="B14" s="16"/>
      <c r="C14" s="16"/>
      <c r="D14" s="16"/>
      <c r="E14" s="16"/>
      <c r="F14" s="16"/>
      <c r="G14" s="16"/>
      <c r="H14" s="16"/>
      <c r="I14" s="17"/>
      <c r="J14" s="18"/>
      <c r="K14" s="18"/>
      <c r="L14" s="18"/>
    </row>
    <row r="15" spans="2:17" ht="18.75" customHeight="1">
      <c r="B15" s="576" t="s">
        <v>194</v>
      </c>
      <c r="C15" s="577"/>
      <c r="D15" s="577"/>
      <c r="E15" s="577"/>
      <c r="F15" s="577"/>
      <c r="G15" s="578"/>
      <c r="H15" s="51"/>
      <c r="I15" s="20"/>
      <c r="J15" s="20"/>
      <c r="K15" s="20"/>
      <c r="L15" s="20"/>
      <c r="M15" s="20"/>
      <c r="N15" s="20"/>
      <c r="O15" s="20"/>
      <c r="P15" s="20"/>
      <c r="Q15" s="20"/>
    </row>
    <row r="16" spans="2:17" ht="15">
      <c r="B16" s="579"/>
      <c r="C16" s="580"/>
      <c r="D16" s="580"/>
      <c r="E16" s="580"/>
      <c r="F16" s="580"/>
      <c r="G16" s="581"/>
      <c r="H16" s="51"/>
      <c r="I16" s="20"/>
      <c r="J16" s="20"/>
      <c r="K16" s="20"/>
      <c r="L16" s="20"/>
      <c r="M16" s="20"/>
      <c r="N16" s="20"/>
      <c r="O16" s="20"/>
      <c r="P16" s="20"/>
      <c r="Q16" s="20"/>
    </row>
    <row r="17" spans="2:17" ht="15">
      <c r="B17" s="579"/>
      <c r="C17" s="580"/>
      <c r="D17" s="580"/>
      <c r="E17" s="580"/>
      <c r="F17" s="580"/>
      <c r="G17" s="581"/>
      <c r="H17" s="51"/>
      <c r="I17" s="20"/>
      <c r="J17" s="20"/>
      <c r="K17" s="20"/>
      <c r="L17" s="20"/>
      <c r="M17" s="20"/>
      <c r="N17" s="20"/>
      <c r="O17" s="20"/>
      <c r="P17" s="20"/>
      <c r="Q17" s="20"/>
    </row>
    <row r="18" spans="2:27" ht="168.75" customHeight="1" thickBot="1">
      <c r="B18" s="582"/>
      <c r="C18" s="583"/>
      <c r="D18" s="583"/>
      <c r="E18" s="583"/>
      <c r="F18" s="583"/>
      <c r="G18" s="584"/>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85" t="s">
        <v>55</v>
      </c>
      <c r="AE21" s="586"/>
      <c r="AF21" s="586"/>
      <c r="AG21" s="587"/>
    </row>
    <row r="22" spans="2:33" ht="20.25" customHeight="1" thickBot="1" thickTop="1">
      <c r="B22" s="23"/>
      <c r="C22" s="25" t="s">
        <v>7</v>
      </c>
      <c r="D22" s="588"/>
      <c r="E22" s="588"/>
      <c r="F22" s="588"/>
      <c r="G22" s="589"/>
      <c r="H22" s="26" t="s">
        <v>8</v>
      </c>
      <c r="I22" s="590"/>
      <c r="J22" s="588"/>
      <c r="K22" s="588"/>
      <c r="L22" s="589"/>
      <c r="M22" s="27" t="s">
        <v>9</v>
      </c>
      <c r="N22" s="588"/>
      <c r="O22" s="588"/>
      <c r="P22" s="588"/>
      <c r="Q22" s="589"/>
      <c r="R22" s="27" t="s">
        <v>10</v>
      </c>
      <c r="S22" s="588"/>
      <c r="T22" s="588"/>
      <c r="U22" s="588"/>
      <c r="V22" s="589"/>
      <c r="W22" s="27" t="s">
        <v>11</v>
      </c>
      <c r="X22" s="591"/>
      <c r="Y22" s="591"/>
      <c r="Z22" s="591"/>
      <c r="AA22" s="592"/>
      <c r="AD22" s="593" t="s">
        <v>6</v>
      </c>
      <c r="AE22" s="594"/>
      <c r="AF22" s="594"/>
      <c r="AG22" s="595"/>
    </row>
    <row r="23" spans="2:33" ht="31.5" customHeight="1" thickBot="1" thickTop="1">
      <c r="B23" s="23"/>
      <c r="C23" s="28" t="s">
        <v>13</v>
      </c>
      <c r="D23" s="544"/>
      <c r="E23" s="544"/>
      <c r="F23" s="544"/>
      <c r="G23" s="545"/>
      <c r="H23" s="29" t="s">
        <v>13</v>
      </c>
      <c r="I23" s="573"/>
      <c r="J23" s="544"/>
      <c r="K23" s="544"/>
      <c r="L23" s="545"/>
      <c r="M23" s="29" t="s">
        <v>13</v>
      </c>
      <c r="N23" s="573"/>
      <c r="O23" s="544"/>
      <c r="P23" s="544"/>
      <c r="Q23" s="545"/>
      <c r="R23" s="29" t="s">
        <v>13</v>
      </c>
      <c r="S23" s="544"/>
      <c r="T23" s="544"/>
      <c r="U23" s="544"/>
      <c r="V23" s="545"/>
      <c r="W23" s="29" t="s">
        <v>13</v>
      </c>
      <c r="X23" s="574"/>
      <c r="Y23" s="574"/>
      <c r="Z23" s="574"/>
      <c r="AA23" s="575"/>
      <c r="AD23" s="555" t="s">
        <v>12</v>
      </c>
      <c r="AE23" s="556"/>
      <c r="AF23" s="556"/>
      <c r="AG23" s="557"/>
    </row>
    <row r="24" spans="2:33" ht="114.75" customHeight="1" thickBot="1" thickTop="1">
      <c r="B24" s="30" t="s">
        <v>14</v>
      </c>
      <c r="C24" s="31" t="s">
        <v>15</v>
      </c>
      <c r="D24" s="32" t="s">
        <v>16</v>
      </c>
      <c r="E24" s="33" t="s">
        <v>17</v>
      </c>
      <c r="F24" s="33" t="s">
        <v>18</v>
      </c>
      <c r="G24" s="34" t="s">
        <v>19</v>
      </c>
      <c r="H24" s="35" t="s">
        <v>20</v>
      </c>
      <c r="I24" s="36" t="s">
        <v>178</v>
      </c>
      <c r="J24" s="37" t="s">
        <v>21</v>
      </c>
      <c r="K24" s="37" t="s">
        <v>22</v>
      </c>
      <c r="L24" s="38" t="s">
        <v>23</v>
      </c>
      <c r="M24" s="35" t="s">
        <v>24</v>
      </c>
      <c r="N24" s="36" t="s">
        <v>179</v>
      </c>
      <c r="O24" s="37" t="s">
        <v>25</v>
      </c>
      <c r="P24" s="37" t="s">
        <v>26</v>
      </c>
      <c r="Q24" s="38" t="s">
        <v>27</v>
      </c>
      <c r="R24" s="35" t="s">
        <v>28</v>
      </c>
      <c r="S24" s="36" t="s">
        <v>180</v>
      </c>
      <c r="T24" s="37" t="s">
        <v>29</v>
      </c>
      <c r="U24" s="37" t="s">
        <v>30</v>
      </c>
      <c r="V24" s="38" t="s">
        <v>31</v>
      </c>
      <c r="W24" s="35" t="s">
        <v>32</v>
      </c>
      <c r="X24" s="36" t="s">
        <v>181</v>
      </c>
      <c r="Y24" s="37" t="s">
        <v>175</v>
      </c>
      <c r="Z24" s="37" t="s">
        <v>176</v>
      </c>
      <c r="AA24" s="38" t="s">
        <v>177</v>
      </c>
      <c r="AD24" s="65" t="s">
        <v>33</v>
      </c>
      <c r="AE24" s="66" t="s">
        <v>56</v>
      </c>
      <c r="AF24" s="67" t="s">
        <v>58</v>
      </c>
      <c r="AG24" s="66" t="s">
        <v>57</v>
      </c>
    </row>
    <row r="25" spans="2:33" ht="20.15" customHeight="1">
      <c r="B25" s="44">
        <f aca="true" t="shared" si="0" ref="B25:B36">DATE(YEAR(B26),MONTH(B26)-1,DAY(B26))</f>
        <v>42948</v>
      </c>
      <c r="C25" s="39"/>
      <c r="D25" s="40"/>
      <c r="E25" s="404"/>
      <c r="F25" s="45"/>
      <c r="G25" s="41"/>
      <c r="H25" s="42"/>
      <c r="I25" s="43"/>
      <c r="J25" s="398"/>
      <c r="K25" s="398"/>
      <c r="L25" s="41"/>
      <c r="M25" s="42"/>
      <c r="N25" s="43"/>
      <c r="O25" s="398"/>
      <c r="P25" s="398"/>
      <c r="Q25" s="41"/>
      <c r="R25" s="42"/>
      <c r="S25" s="39"/>
      <c r="T25" s="39"/>
      <c r="U25" s="401"/>
      <c r="V25" s="41"/>
      <c r="W25" s="42"/>
      <c r="X25" s="39"/>
      <c r="Y25" s="39"/>
      <c r="Z25" s="401"/>
      <c r="AA25" s="358"/>
      <c r="AD25" s="473">
        <f>#REF!</f>
        <v>42948</v>
      </c>
      <c r="AE25" s="465">
        <v>0</v>
      </c>
      <c r="AF25" s="466"/>
      <c r="AG25" s="467">
        <f>IF(Table5[[#This Row],[Gas usage (ccf or therms)]]=0,0,29.31*Table5[[#This Row],[Gas usage (ccf or therms)]])</f>
        <v>0</v>
      </c>
    </row>
    <row r="26" spans="2:33" ht="20.15" customHeight="1">
      <c r="B26" s="44">
        <f t="shared" si="0"/>
        <v>42979</v>
      </c>
      <c r="C26" s="45"/>
      <c r="D26" s="40"/>
      <c r="E26" s="404"/>
      <c r="F26" s="45"/>
      <c r="G26" s="41"/>
      <c r="H26" s="42"/>
      <c r="I26" s="43"/>
      <c r="J26" s="398"/>
      <c r="K26" s="398"/>
      <c r="L26" s="41"/>
      <c r="M26" s="42"/>
      <c r="N26" s="43"/>
      <c r="O26" s="398"/>
      <c r="P26" s="398"/>
      <c r="Q26" s="41"/>
      <c r="R26" s="42"/>
      <c r="S26" s="39"/>
      <c r="T26" s="39"/>
      <c r="U26" s="401"/>
      <c r="V26" s="41"/>
      <c r="W26" s="42"/>
      <c r="X26" s="39"/>
      <c r="Y26" s="39"/>
      <c r="Z26" s="401"/>
      <c r="AA26" s="358"/>
      <c r="AD26" s="474">
        <f>#REF!</f>
        <v>42979</v>
      </c>
      <c r="AE26" s="47">
        <v>0</v>
      </c>
      <c r="AF26" s="40"/>
      <c r="AG26" s="469">
        <f>IF(Table5[[#This Row],[Gas usage (ccf or therms)]]=0,0,29.31*Table5[[#This Row],[Gas usage (ccf or therms)]])</f>
        <v>0</v>
      </c>
    </row>
    <row r="27" spans="2:33" ht="20.15" customHeight="1">
      <c r="B27" s="44">
        <f t="shared" si="0"/>
        <v>43009</v>
      </c>
      <c r="C27" s="45"/>
      <c r="D27" s="40"/>
      <c r="E27" s="404"/>
      <c r="F27" s="45"/>
      <c r="G27" s="41"/>
      <c r="H27" s="42"/>
      <c r="I27" s="43"/>
      <c r="J27" s="398"/>
      <c r="K27" s="398"/>
      <c r="L27" s="41"/>
      <c r="M27" s="42"/>
      <c r="N27" s="43"/>
      <c r="O27" s="398"/>
      <c r="P27" s="398"/>
      <c r="Q27" s="41"/>
      <c r="R27" s="42"/>
      <c r="S27" s="39"/>
      <c r="T27" s="39"/>
      <c r="U27" s="401"/>
      <c r="V27" s="41"/>
      <c r="W27" s="42"/>
      <c r="X27" s="39"/>
      <c r="Y27" s="39"/>
      <c r="Z27" s="401"/>
      <c r="AA27" s="358"/>
      <c r="AD27" s="474">
        <f>#REF!</f>
        <v>43009</v>
      </c>
      <c r="AE27" s="47">
        <v>0</v>
      </c>
      <c r="AF27" s="40"/>
      <c r="AG27" s="469">
        <f>IF(Table5[[#This Row],[Gas usage (ccf or therms)]]=0,0,29.31*Table5[[#This Row],[Gas usage (ccf or therms)]])</f>
        <v>0</v>
      </c>
    </row>
    <row r="28" spans="2:33" ht="20.15" customHeight="1">
      <c r="B28" s="44">
        <f t="shared" si="0"/>
        <v>43040</v>
      </c>
      <c r="C28" s="45"/>
      <c r="D28" s="40"/>
      <c r="E28" s="404"/>
      <c r="F28" s="45"/>
      <c r="G28" s="41"/>
      <c r="H28" s="42"/>
      <c r="I28" s="43"/>
      <c r="J28" s="398"/>
      <c r="K28" s="398"/>
      <c r="L28" s="41"/>
      <c r="M28" s="42"/>
      <c r="N28" s="43"/>
      <c r="O28" s="398"/>
      <c r="P28" s="398"/>
      <c r="Q28" s="41"/>
      <c r="R28" s="42"/>
      <c r="S28" s="39"/>
      <c r="T28" s="39"/>
      <c r="U28" s="401"/>
      <c r="V28" s="41"/>
      <c r="W28" s="42"/>
      <c r="X28" s="39"/>
      <c r="Y28" s="39"/>
      <c r="Z28" s="401"/>
      <c r="AA28" s="358"/>
      <c r="AD28" s="474">
        <f>#REF!</f>
        <v>43040</v>
      </c>
      <c r="AE28" s="47">
        <v>0</v>
      </c>
      <c r="AF28" s="40"/>
      <c r="AG28" s="469">
        <f>IF(Table5[[#This Row],[Gas usage (ccf or therms)]]=0,0,29.31*Table5[[#This Row],[Gas usage (ccf or therms)]])</f>
        <v>0</v>
      </c>
    </row>
    <row r="29" spans="2:33" ht="20.15" customHeight="1">
      <c r="B29" s="44">
        <f t="shared" si="0"/>
        <v>43070</v>
      </c>
      <c r="C29" s="45"/>
      <c r="D29" s="40"/>
      <c r="E29" s="404"/>
      <c r="F29" s="45"/>
      <c r="G29" s="41"/>
      <c r="H29" s="42"/>
      <c r="I29" s="43"/>
      <c r="J29" s="398"/>
      <c r="K29" s="398"/>
      <c r="L29" s="41"/>
      <c r="M29" s="42"/>
      <c r="N29" s="43"/>
      <c r="O29" s="398"/>
      <c r="P29" s="398"/>
      <c r="Q29" s="41"/>
      <c r="R29" s="42"/>
      <c r="S29" s="39"/>
      <c r="T29" s="39"/>
      <c r="U29" s="401"/>
      <c r="V29" s="41"/>
      <c r="W29" s="42"/>
      <c r="X29" s="39"/>
      <c r="Y29" s="39"/>
      <c r="Z29" s="401"/>
      <c r="AA29" s="358"/>
      <c r="AD29" s="474">
        <f>#REF!</f>
        <v>43070</v>
      </c>
      <c r="AE29" s="47">
        <v>0</v>
      </c>
      <c r="AF29" s="40"/>
      <c r="AG29" s="469">
        <f>IF(Table5[[#This Row],[Gas usage (ccf or therms)]]=0,0,29.31*Table5[[#This Row],[Gas usage (ccf or therms)]])</f>
        <v>0</v>
      </c>
    </row>
    <row r="30" spans="2:33" ht="20.15" customHeight="1">
      <c r="B30" s="44">
        <f t="shared" si="0"/>
        <v>43101</v>
      </c>
      <c r="C30" s="45"/>
      <c r="D30" s="40"/>
      <c r="E30" s="404"/>
      <c r="F30" s="45"/>
      <c r="G30" s="41"/>
      <c r="H30" s="42"/>
      <c r="I30" s="43"/>
      <c r="J30" s="398"/>
      <c r="K30" s="398"/>
      <c r="L30" s="41"/>
      <c r="M30" s="42"/>
      <c r="N30" s="43"/>
      <c r="O30" s="398"/>
      <c r="P30" s="398"/>
      <c r="Q30" s="41"/>
      <c r="R30" s="42"/>
      <c r="S30" s="39"/>
      <c r="T30" s="39"/>
      <c r="U30" s="401"/>
      <c r="V30" s="41"/>
      <c r="W30" s="42"/>
      <c r="X30" s="39"/>
      <c r="Y30" s="39"/>
      <c r="Z30" s="401"/>
      <c r="AA30" s="358"/>
      <c r="AD30" s="474">
        <f>#REF!</f>
        <v>43101</v>
      </c>
      <c r="AE30" s="47">
        <v>0</v>
      </c>
      <c r="AF30" s="40"/>
      <c r="AG30" s="469">
        <f>IF(Table5[[#This Row],[Gas usage (ccf or therms)]]=0,0,29.31*Table5[[#This Row],[Gas usage (ccf or therms)]])</f>
        <v>0</v>
      </c>
    </row>
    <row r="31" spans="2:33" ht="20.15" customHeight="1">
      <c r="B31" s="44">
        <f t="shared" si="0"/>
        <v>43132</v>
      </c>
      <c r="C31" s="45"/>
      <c r="D31" s="40"/>
      <c r="E31" s="404"/>
      <c r="F31" s="45"/>
      <c r="G31" s="41"/>
      <c r="H31" s="42"/>
      <c r="I31" s="43"/>
      <c r="J31" s="398"/>
      <c r="K31" s="398"/>
      <c r="L31" s="41"/>
      <c r="M31" s="42"/>
      <c r="N31" s="43"/>
      <c r="O31" s="398"/>
      <c r="P31" s="398"/>
      <c r="Q31" s="41"/>
      <c r="R31" s="42"/>
      <c r="S31" s="39"/>
      <c r="T31" s="39"/>
      <c r="U31" s="401"/>
      <c r="V31" s="41"/>
      <c r="W31" s="42"/>
      <c r="X31" s="39"/>
      <c r="Y31" s="39"/>
      <c r="Z31" s="401"/>
      <c r="AA31" s="358"/>
      <c r="AD31" s="474">
        <f>#REF!</f>
        <v>43132</v>
      </c>
      <c r="AE31" s="47">
        <v>0</v>
      </c>
      <c r="AF31" s="40"/>
      <c r="AG31" s="469">
        <f>IF(Table5[[#This Row],[Gas usage (ccf or therms)]]=0,0,29.31*Table5[[#This Row],[Gas usage (ccf or therms)]])</f>
        <v>0</v>
      </c>
    </row>
    <row r="32" spans="2:33" ht="20.15" customHeight="1">
      <c r="B32" s="44">
        <f t="shared" si="0"/>
        <v>43160</v>
      </c>
      <c r="C32" s="45"/>
      <c r="D32" s="40"/>
      <c r="E32" s="404"/>
      <c r="F32" s="45"/>
      <c r="G32" s="41"/>
      <c r="H32" s="42"/>
      <c r="I32" s="43"/>
      <c r="J32" s="398"/>
      <c r="K32" s="398"/>
      <c r="L32" s="41"/>
      <c r="M32" s="42"/>
      <c r="N32" s="43"/>
      <c r="O32" s="398"/>
      <c r="P32" s="398"/>
      <c r="Q32" s="41"/>
      <c r="R32" s="42"/>
      <c r="S32" s="39"/>
      <c r="T32" s="39"/>
      <c r="U32" s="401"/>
      <c r="V32" s="41"/>
      <c r="W32" s="42"/>
      <c r="X32" s="39"/>
      <c r="Y32" s="39"/>
      <c r="Z32" s="401"/>
      <c r="AA32" s="358"/>
      <c r="AD32" s="474">
        <f>#REF!</f>
        <v>43160</v>
      </c>
      <c r="AE32" s="47">
        <v>0</v>
      </c>
      <c r="AF32" s="40"/>
      <c r="AG32" s="469">
        <f>IF(Table5[[#This Row],[Gas usage (ccf or therms)]]=0,0,29.31*Table5[[#This Row],[Gas usage (ccf or therms)]])</f>
        <v>0</v>
      </c>
    </row>
    <row r="33" spans="2:33" ht="20.15" customHeight="1">
      <c r="B33" s="44">
        <f t="shared" si="0"/>
        <v>43191</v>
      </c>
      <c r="C33" s="45"/>
      <c r="D33" s="40"/>
      <c r="E33" s="404"/>
      <c r="F33" s="45"/>
      <c r="G33" s="41"/>
      <c r="H33" s="42"/>
      <c r="I33" s="43"/>
      <c r="J33" s="398"/>
      <c r="K33" s="398"/>
      <c r="L33" s="41"/>
      <c r="M33" s="42"/>
      <c r="N33" s="43"/>
      <c r="O33" s="398"/>
      <c r="P33" s="398"/>
      <c r="Q33" s="41"/>
      <c r="R33" s="42"/>
      <c r="S33" s="39"/>
      <c r="T33" s="39"/>
      <c r="U33" s="401"/>
      <c r="V33" s="41"/>
      <c r="W33" s="42"/>
      <c r="X33" s="39"/>
      <c r="Y33" s="39"/>
      <c r="Z33" s="401"/>
      <c r="AA33" s="358"/>
      <c r="AD33" s="474">
        <f>#REF!</f>
        <v>43191</v>
      </c>
      <c r="AE33" s="47">
        <v>0</v>
      </c>
      <c r="AF33" s="40"/>
      <c r="AG33" s="469">
        <f>IF(Table5[[#This Row],[Gas usage (ccf or therms)]]=0,0,29.31*Table5[[#This Row],[Gas usage (ccf or therms)]])</f>
        <v>0</v>
      </c>
    </row>
    <row r="34" spans="2:33" ht="20.15" customHeight="1">
      <c r="B34" s="44">
        <f t="shared" si="0"/>
        <v>43221</v>
      </c>
      <c r="C34" s="45"/>
      <c r="D34" s="40"/>
      <c r="E34" s="404"/>
      <c r="F34" s="45"/>
      <c r="G34" s="41"/>
      <c r="H34" s="42"/>
      <c r="I34" s="43"/>
      <c r="J34" s="398"/>
      <c r="K34" s="398"/>
      <c r="L34" s="41"/>
      <c r="M34" s="42"/>
      <c r="N34" s="43"/>
      <c r="O34" s="398"/>
      <c r="P34" s="398"/>
      <c r="Q34" s="41"/>
      <c r="R34" s="42"/>
      <c r="S34" s="39"/>
      <c r="T34" s="39"/>
      <c r="U34" s="401"/>
      <c r="V34" s="41"/>
      <c r="W34" s="42"/>
      <c r="X34" s="39"/>
      <c r="Y34" s="39"/>
      <c r="Z34" s="401"/>
      <c r="AA34" s="358"/>
      <c r="AD34" s="474">
        <f>#REF!</f>
        <v>43221</v>
      </c>
      <c r="AE34" s="47">
        <v>0</v>
      </c>
      <c r="AF34" s="40"/>
      <c r="AG34" s="469">
        <f>IF(Table5[[#This Row],[Gas usage (ccf or therms)]]=0,0,29.31*Table5[[#This Row],[Gas usage (ccf or therms)]])</f>
        <v>0</v>
      </c>
    </row>
    <row r="35" spans="2:33" ht="20.15" customHeight="1">
      <c r="B35" s="44">
        <f t="shared" si="0"/>
        <v>43252</v>
      </c>
      <c r="C35" s="45"/>
      <c r="D35" s="40"/>
      <c r="E35" s="404"/>
      <c r="F35" s="45"/>
      <c r="G35" s="41"/>
      <c r="H35" s="42"/>
      <c r="I35" s="43"/>
      <c r="J35" s="398"/>
      <c r="K35" s="398"/>
      <c r="L35" s="41"/>
      <c r="M35" s="42"/>
      <c r="N35" s="43"/>
      <c r="O35" s="398"/>
      <c r="P35" s="398"/>
      <c r="Q35" s="41"/>
      <c r="R35" s="42"/>
      <c r="S35" s="39"/>
      <c r="T35" s="39"/>
      <c r="U35" s="401"/>
      <c r="V35" s="41"/>
      <c r="W35" s="42"/>
      <c r="X35" s="39"/>
      <c r="Y35" s="39"/>
      <c r="Z35" s="401"/>
      <c r="AA35" s="358"/>
      <c r="AD35" s="474">
        <f>#REF!</f>
        <v>43252</v>
      </c>
      <c r="AE35" s="47">
        <v>0</v>
      </c>
      <c r="AF35" s="40"/>
      <c r="AG35" s="469">
        <f>IF(Table5[[#This Row],[Gas usage (ccf or therms)]]=0,0,29.31*Table5[[#This Row],[Gas usage (ccf or therms)]])</f>
        <v>0</v>
      </c>
    </row>
    <row r="36" spans="2:33" ht="20.15" customHeight="1" thickBot="1">
      <c r="B36" s="267">
        <f t="shared" si="0"/>
        <v>43282</v>
      </c>
      <c r="C36" s="268"/>
      <c r="D36" s="269"/>
      <c r="E36" s="405"/>
      <c r="F36" s="268"/>
      <c r="G36" s="270"/>
      <c r="H36" s="271"/>
      <c r="I36" s="272"/>
      <c r="J36" s="399"/>
      <c r="K36" s="399"/>
      <c r="L36" s="270"/>
      <c r="M36" s="271"/>
      <c r="N36" s="272"/>
      <c r="O36" s="399"/>
      <c r="P36" s="399"/>
      <c r="Q36" s="270"/>
      <c r="R36" s="271"/>
      <c r="S36" s="275"/>
      <c r="T36" s="275"/>
      <c r="U36" s="402"/>
      <c r="V36" s="270"/>
      <c r="W36" s="271"/>
      <c r="X36" s="275"/>
      <c r="Y36" s="275"/>
      <c r="Z36" s="402"/>
      <c r="AA36" s="359"/>
      <c r="AD36" s="475">
        <f>#REF!</f>
        <v>43282</v>
      </c>
      <c r="AE36" s="471">
        <v>0</v>
      </c>
      <c r="AF36" s="269"/>
      <c r="AG36" s="472">
        <f>IF(Table5[[#This Row],[Gas usage (ccf or therms)]]=0,0,29.31*Table5[[#This Row],[Gas usage (ccf or therms)]])</f>
        <v>0</v>
      </c>
    </row>
    <row r="37" spans="2:33" ht="20.15" customHeight="1">
      <c r="B37" s="44">
        <f aca="true" t="shared" si="1" ref="B37:B47">DATE(YEAR(B38),MONTH(B38)-1,DAY(B38))</f>
        <v>43313</v>
      </c>
      <c r="C37" s="263"/>
      <c r="D37" s="64"/>
      <c r="E37" s="406"/>
      <c r="F37" s="263"/>
      <c r="G37" s="264"/>
      <c r="H37" s="265"/>
      <c r="I37" s="266"/>
      <c r="J37" s="400"/>
      <c r="K37" s="400"/>
      <c r="L37" s="264"/>
      <c r="M37" s="265"/>
      <c r="N37" s="266"/>
      <c r="O37" s="400"/>
      <c r="P37" s="400"/>
      <c r="Q37" s="264"/>
      <c r="R37" s="265"/>
      <c r="S37" s="274"/>
      <c r="T37" s="274"/>
      <c r="U37" s="403"/>
      <c r="V37" s="264"/>
      <c r="W37" s="265"/>
      <c r="X37" s="274"/>
      <c r="Y37" s="274"/>
      <c r="Z37" s="403"/>
      <c r="AA37" s="360"/>
      <c r="AD37" s="62">
        <f>#REF!</f>
        <v>43313</v>
      </c>
      <c r="AE37" s="63">
        <v>0</v>
      </c>
      <c r="AF37" s="64"/>
      <c r="AG37" s="68">
        <f>IF(Table5[[#This Row],[Gas usage (ccf or therms)]]=0,0,29.31*Table5[[#This Row],[Gas usage (ccf or therms)]])</f>
        <v>0</v>
      </c>
    </row>
    <row r="38" spans="2:33" ht="20.15" customHeight="1">
      <c r="B38" s="44">
        <f t="shared" si="1"/>
        <v>43344</v>
      </c>
      <c r="C38" s="45"/>
      <c r="D38" s="40"/>
      <c r="E38" s="404"/>
      <c r="F38" s="45"/>
      <c r="G38" s="41"/>
      <c r="H38" s="42"/>
      <c r="I38" s="43"/>
      <c r="J38" s="398"/>
      <c r="K38" s="398"/>
      <c r="L38" s="41"/>
      <c r="M38" s="42"/>
      <c r="N38" s="43"/>
      <c r="O38" s="398"/>
      <c r="P38" s="398"/>
      <c r="Q38" s="41"/>
      <c r="R38" s="42"/>
      <c r="S38" s="39"/>
      <c r="T38" s="39"/>
      <c r="U38" s="401"/>
      <c r="V38" s="41"/>
      <c r="W38" s="42"/>
      <c r="X38" s="39"/>
      <c r="Y38" s="39"/>
      <c r="Z38" s="401"/>
      <c r="AA38" s="358"/>
      <c r="AD38" s="46">
        <f>#REF!</f>
        <v>43344</v>
      </c>
      <c r="AE38" s="47">
        <v>0</v>
      </c>
      <c r="AF38" s="40"/>
      <c r="AG38" s="68">
        <f>IF(Table5[[#This Row],[Gas usage (ccf or therms)]]=0,0,29.31*Table5[[#This Row],[Gas usage (ccf or therms)]])</f>
        <v>0</v>
      </c>
    </row>
    <row r="39" spans="2:33" ht="20.15" customHeight="1">
      <c r="B39" s="44">
        <f t="shared" si="1"/>
        <v>43374</v>
      </c>
      <c r="C39" s="45"/>
      <c r="D39" s="40"/>
      <c r="E39" s="404"/>
      <c r="F39" s="45"/>
      <c r="G39" s="41"/>
      <c r="H39" s="42"/>
      <c r="I39" s="43"/>
      <c r="J39" s="398"/>
      <c r="K39" s="398"/>
      <c r="L39" s="41"/>
      <c r="M39" s="42"/>
      <c r="N39" s="43"/>
      <c r="O39" s="398"/>
      <c r="P39" s="398"/>
      <c r="Q39" s="41"/>
      <c r="R39" s="42"/>
      <c r="S39" s="39"/>
      <c r="T39" s="39"/>
      <c r="U39" s="401"/>
      <c r="V39" s="41"/>
      <c r="W39" s="42"/>
      <c r="X39" s="39"/>
      <c r="Y39" s="39"/>
      <c r="Z39" s="401"/>
      <c r="AA39" s="358"/>
      <c r="AD39" s="46">
        <f>#REF!</f>
        <v>43374</v>
      </c>
      <c r="AE39" s="47">
        <v>0</v>
      </c>
      <c r="AF39" s="40"/>
      <c r="AG39" s="68">
        <f>IF(Table5[[#This Row],[Gas usage (ccf or therms)]]=0,0,29.31*Table5[[#This Row],[Gas usage (ccf or therms)]])</f>
        <v>0</v>
      </c>
    </row>
    <row r="40" spans="2:33" ht="20.15" customHeight="1">
      <c r="B40" s="44">
        <f t="shared" si="1"/>
        <v>43405</v>
      </c>
      <c r="C40" s="45"/>
      <c r="D40" s="40"/>
      <c r="E40" s="404"/>
      <c r="F40" s="45"/>
      <c r="G40" s="41"/>
      <c r="H40" s="42"/>
      <c r="I40" s="43"/>
      <c r="J40" s="398"/>
      <c r="K40" s="398"/>
      <c r="L40" s="41"/>
      <c r="M40" s="42"/>
      <c r="N40" s="43"/>
      <c r="O40" s="398"/>
      <c r="P40" s="398"/>
      <c r="Q40" s="41"/>
      <c r="R40" s="42"/>
      <c r="S40" s="39"/>
      <c r="T40" s="39"/>
      <c r="U40" s="401"/>
      <c r="V40" s="41"/>
      <c r="W40" s="42"/>
      <c r="X40" s="39"/>
      <c r="Y40" s="39"/>
      <c r="Z40" s="401"/>
      <c r="AA40" s="358"/>
      <c r="AD40" s="46">
        <f>#REF!</f>
        <v>43405</v>
      </c>
      <c r="AE40" s="47">
        <v>0</v>
      </c>
      <c r="AF40" s="40"/>
      <c r="AG40" s="68">
        <f>IF(Table5[[#This Row],[Gas usage (ccf or therms)]]=0,0,29.31*Table5[[#This Row],[Gas usage (ccf or therms)]])</f>
        <v>0</v>
      </c>
    </row>
    <row r="41" spans="2:33" ht="20.15" customHeight="1">
      <c r="B41" s="44">
        <f t="shared" si="1"/>
        <v>43435</v>
      </c>
      <c r="C41" s="45"/>
      <c r="D41" s="40"/>
      <c r="E41" s="404"/>
      <c r="F41" s="45"/>
      <c r="G41" s="41"/>
      <c r="H41" s="42"/>
      <c r="I41" s="43"/>
      <c r="J41" s="398"/>
      <c r="K41" s="398"/>
      <c r="L41" s="41"/>
      <c r="M41" s="42"/>
      <c r="N41" s="43"/>
      <c r="O41" s="398"/>
      <c r="P41" s="398"/>
      <c r="Q41" s="41"/>
      <c r="R41" s="42"/>
      <c r="S41" s="39"/>
      <c r="T41" s="39"/>
      <c r="U41" s="401"/>
      <c r="V41" s="41"/>
      <c r="W41" s="42"/>
      <c r="X41" s="39"/>
      <c r="Y41" s="39"/>
      <c r="Z41" s="401"/>
      <c r="AA41" s="358"/>
      <c r="AD41" s="46">
        <f>#REF!</f>
        <v>43435</v>
      </c>
      <c r="AE41" s="47">
        <v>0</v>
      </c>
      <c r="AF41" s="40"/>
      <c r="AG41" s="68">
        <f>IF(Table5[[#This Row],[Gas usage (ccf or therms)]]=0,0,29.31*Table5[[#This Row],[Gas usage (ccf or therms)]])</f>
        <v>0</v>
      </c>
    </row>
    <row r="42" spans="2:33" ht="20.15" customHeight="1">
      <c r="B42" s="44">
        <f t="shared" si="1"/>
        <v>43466</v>
      </c>
      <c r="C42" s="45"/>
      <c r="D42" s="40"/>
      <c r="E42" s="404"/>
      <c r="F42" s="45"/>
      <c r="G42" s="41"/>
      <c r="H42" s="42"/>
      <c r="I42" s="43"/>
      <c r="J42" s="398"/>
      <c r="K42" s="398"/>
      <c r="L42" s="41"/>
      <c r="M42" s="42"/>
      <c r="N42" s="43"/>
      <c r="O42" s="398"/>
      <c r="P42" s="398"/>
      <c r="Q42" s="41"/>
      <c r="R42" s="42"/>
      <c r="S42" s="39"/>
      <c r="T42" s="39"/>
      <c r="U42" s="401"/>
      <c r="V42" s="41"/>
      <c r="W42" s="42"/>
      <c r="X42" s="39"/>
      <c r="Y42" s="39"/>
      <c r="Z42" s="401"/>
      <c r="AA42" s="358"/>
      <c r="AD42" s="46">
        <f>#REF!</f>
        <v>43466</v>
      </c>
      <c r="AE42" s="47">
        <v>0</v>
      </c>
      <c r="AF42" s="40"/>
      <c r="AG42" s="68">
        <f>IF(Table5[[#This Row],[Gas usage (ccf or therms)]]=0,0,29.31*Table5[[#This Row],[Gas usage (ccf or therms)]])</f>
        <v>0</v>
      </c>
    </row>
    <row r="43" spans="2:33" ht="20.15" customHeight="1">
      <c r="B43" s="44">
        <f t="shared" si="1"/>
        <v>43497</v>
      </c>
      <c r="C43" s="45"/>
      <c r="D43" s="40"/>
      <c r="E43" s="404"/>
      <c r="F43" s="45"/>
      <c r="G43" s="41"/>
      <c r="H43" s="42"/>
      <c r="I43" s="43"/>
      <c r="J43" s="398"/>
      <c r="K43" s="398"/>
      <c r="L43" s="41"/>
      <c r="M43" s="42"/>
      <c r="N43" s="43"/>
      <c r="O43" s="398"/>
      <c r="P43" s="398"/>
      <c r="Q43" s="41"/>
      <c r="R43" s="42"/>
      <c r="S43" s="39"/>
      <c r="T43" s="39"/>
      <c r="U43" s="401"/>
      <c r="V43" s="41"/>
      <c r="W43" s="42"/>
      <c r="X43" s="39"/>
      <c r="Y43" s="39"/>
      <c r="Z43" s="401"/>
      <c r="AA43" s="358"/>
      <c r="AD43" s="46">
        <f>#REF!</f>
        <v>43497</v>
      </c>
      <c r="AE43" s="47">
        <v>0</v>
      </c>
      <c r="AF43" s="40"/>
      <c r="AG43" s="68">
        <f>IF(Table5[[#This Row],[Gas usage (ccf or therms)]]=0,0,29.31*Table5[[#This Row],[Gas usage (ccf or therms)]])</f>
        <v>0</v>
      </c>
    </row>
    <row r="44" spans="2:33" ht="20.15" customHeight="1">
      <c r="B44" s="44">
        <f t="shared" si="1"/>
        <v>43525</v>
      </c>
      <c r="C44" s="45"/>
      <c r="D44" s="40"/>
      <c r="E44" s="404"/>
      <c r="F44" s="45"/>
      <c r="G44" s="41"/>
      <c r="H44" s="42"/>
      <c r="I44" s="43"/>
      <c r="J44" s="398"/>
      <c r="K44" s="398"/>
      <c r="L44" s="41"/>
      <c r="M44" s="42"/>
      <c r="N44" s="43"/>
      <c r="O44" s="398"/>
      <c r="P44" s="398"/>
      <c r="Q44" s="41"/>
      <c r="R44" s="42"/>
      <c r="S44" s="39"/>
      <c r="T44" s="39"/>
      <c r="U44" s="401"/>
      <c r="V44" s="41"/>
      <c r="W44" s="42"/>
      <c r="X44" s="39"/>
      <c r="Y44" s="39"/>
      <c r="Z44" s="401"/>
      <c r="AA44" s="358"/>
      <c r="AD44" s="46">
        <f>#REF!</f>
        <v>43525</v>
      </c>
      <c r="AE44" s="47">
        <v>0</v>
      </c>
      <c r="AF44" s="40"/>
      <c r="AG44" s="68">
        <f>IF(Table5[[#This Row],[Gas usage (ccf or therms)]]=0,0,29.31*Table5[[#This Row],[Gas usage (ccf or therms)]])</f>
        <v>0</v>
      </c>
    </row>
    <row r="45" spans="2:33" ht="20.15" customHeight="1">
      <c r="B45" s="44">
        <f t="shared" si="1"/>
        <v>43556</v>
      </c>
      <c r="C45" s="45"/>
      <c r="D45" s="40"/>
      <c r="E45" s="404"/>
      <c r="F45" s="45"/>
      <c r="G45" s="41"/>
      <c r="H45" s="42"/>
      <c r="I45" s="43"/>
      <c r="J45" s="398"/>
      <c r="K45" s="398"/>
      <c r="L45" s="41"/>
      <c r="M45" s="42"/>
      <c r="N45" s="43"/>
      <c r="O45" s="398"/>
      <c r="P45" s="398"/>
      <c r="Q45" s="41"/>
      <c r="R45" s="42"/>
      <c r="S45" s="39"/>
      <c r="T45" s="39"/>
      <c r="U45" s="401"/>
      <c r="V45" s="41"/>
      <c r="W45" s="42"/>
      <c r="X45" s="39"/>
      <c r="Y45" s="39"/>
      <c r="Z45" s="401"/>
      <c r="AA45" s="358"/>
      <c r="AD45" s="46">
        <f>#REF!</f>
        <v>43556</v>
      </c>
      <c r="AE45" s="47">
        <v>0</v>
      </c>
      <c r="AF45" s="40"/>
      <c r="AG45" s="68">
        <f>IF(Table5[[#This Row],[Gas usage (ccf or therms)]]=0,0,29.31*Table5[[#This Row],[Gas usage (ccf or therms)]])</f>
        <v>0</v>
      </c>
    </row>
    <row r="46" spans="2:33" ht="20.15" customHeight="1">
      <c r="B46" s="44">
        <f t="shared" si="1"/>
        <v>43586</v>
      </c>
      <c r="C46" s="45"/>
      <c r="D46" s="40"/>
      <c r="E46" s="404"/>
      <c r="F46" s="45"/>
      <c r="G46" s="41"/>
      <c r="H46" s="42"/>
      <c r="I46" s="43"/>
      <c r="J46" s="398"/>
      <c r="K46" s="398"/>
      <c r="L46" s="41"/>
      <c r="M46" s="42"/>
      <c r="N46" s="43"/>
      <c r="O46" s="398"/>
      <c r="P46" s="398"/>
      <c r="Q46" s="41"/>
      <c r="R46" s="42"/>
      <c r="S46" s="39"/>
      <c r="T46" s="39"/>
      <c r="U46" s="401"/>
      <c r="V46" s="41"/>
      <c r="W46" s="42"/>
      <c r="X46" s="39"/>
      <c r="Y46" s="39"/>
      <c r="Z46" s="401"/>
      <c r="AA46" s="358"/>
      <c r="AD46" s="46">
        <f>#REF!</f>
        <v>43586</v>
      </c>
      <c r="AE46" s="47">
        <v>0</v>
      </c>
      <c r="AF46" s="40"/>
      <c r="AG46" s="68">
        <f>IF(Table5[[#This Row],[Gas usage (ccf or therms)]]=0,0,29.31*Table5[[#This Row],[Gas usage (ccf or therms)]])</f>
        <v>0</v>
      </c>
    </row>
    <row r="47" spans="2:33" ht="20.15" customHeight="1">
      <c r="B47" s="44">
        <f t="shared" si="1"/>
        <v>43617</v>
      </c>
      <c r="C47" s="45"/>
      <c r="D47" s="40"/>
      <c r="E47" s="404"/>
      <c r="F47" s="45"/>
      <c r="G47" s="41"/>
      <c r="H47" s="42"/>
      <c r="I47" s="43"/>
      <c r="J47" s="398"/>
      <c r="K47" s="398"/>
      <c r="L47" s="41"/>
      <c r="M47" s="42"/>
      <c r="N47" s="43"/>
      <c r="O47" s="398"/>
      <c r="P47" s="398"/>
      <c r="Q47" s="41"/>
      <c r="R47" s="42"/>
      <c r="S47" s="39"/>
      <c r="T47" s="39"/>
      <c r="U47" s="401"/>
      <c r="V47" s="41"/>
      <c r="W47" s="42"/>
      <c r="X47" s="39"/>
      <c r="Y47" s="39"/>
      <c r="Z47" s="401"/>
      <c r="AA47" s="358"/>
      <c r="AD47" s="46">
        <f>#REF!</f>
        <v>43617</v>
      </c>
      <c r="AE47" s="47">
        <v>0</v>
      </c>
      <c r="AF47" s="40"/>
      <c r="AG47" s="68">
        <f>IF(Table5[[#This Row],[Gas usage (ccf or therms)]]=0,0,29.31*Table5[[#This Row],[Gas usage (ccf or therms)]])</f>
        <v>0</v>
      </c>
    </row>
    <row r="48" spans="2:33" ht="20.15" customHeight="1" thickBot="1">
      <c r="B48" s="267">
        <f>DATE(YEAR(D11),MONTH(D11)-1,DAY(D11))</f>
        <v>43647</v>
      </c>
      <c r="C48" s="345"/>
      <c r="D48" s="269"/>
      <c r="E48" s="405"/>
      <c r="F48" s="268"/>
      <c r="G48" s="270"/>
      <c r="H48" s="271"/>
      <c r="I48" s="272"/>
      <c r="J48" s="399"/>
      <c r="K48" s="399"/>
      <c r="L48" s="270"/>
      <c r="M48" s="271"/>
      <c r="N48" s="272"/>
      <c r="O48" s="399"/>
      <c r="P48" s="399"/>
      <c r="Q48" s="270"/>
      <c r="R48" s="271"/>
      <c r="S48" s="275"/>
      <c r="T48" s="275"/>
      <c r="U48" s="402"/>
      <c r="V48" s="270"/>
      <c r="W48" s="271"/>
      <c r="X48" s="275"/>
      <c r="Y48" s="275"/>
      <c r="Z48" s="402"/>
      <c r="AA48" s="359"/>
      <c r="AD48" s="475">
        <f>#REF!</f>
        <v>43647</v>
      </c>
      <c r="AE48" s="461">
        <v>0</v>
      </c>
      <c r="AF48" s="462"/>
      <c r="AG48" s="463">
        <f>IF(Table5[[#This Row],[Gas usage (ccf or therms)]]=0,0,29.31*Table5[[#This Row],[Gas usage (ccf or therms)]])</f>
        <v>0</v>
      </c>
    </row>
    <row r="49" spans="2:33" ht="20.15" customHeight="1">
      <c r="B49" s="273">
        <f>EOMONTH(D11,-1)+1</f>
        <v>43678</v>
      </c>
      <c r="C49" s="263"/>
      <c r="D49" s="64"/>
      <c r="E49" s="406"/>
      <c r="F49" s="263"/>
      <c r="G49" s="264"/>
      <c r="H49" s="265"/>
      <c r="I49" s="266"/>
      <c r="J49" s="400"/>
      <c r="K49" s="400"/>
      <c r="L49" s="264"/>
      <c r="M49" s="265"/>
      <c r="N49" s="266"/>
      <c r="O49" s="400"/>
      <c r="P49" s="400"/>
      <c r="Q49" s="264"/>
      <c r="R49" s="265"/>
      <c r="S49" s="274"/>
      <c r="T49" s="274"/>
      <c r="U49" s="403"/>
      <c r="V49" s="264"/>
      <c r="W49" s="265"/>
      <c r="X49" s="274"/>
      <c r="Y49" s="274"/>
      <c r="Z49" s="403"/>
      <c r="AA49" s="360"/>
      <c r="AD49" s="464">
        <f>#REF!</f>
        <v>43678</v>
      </c>
      <c r="AE49" s="465">
        <v>0</v>
      </c>
      <c r="AF49" s="466"/>
      <c r="AG49" s="467">
        <f>IF(Table5[[#This Row],[Gas usage (ccf or therms)]]=0,0,29.31*Table5[[#This Row],[Gas usage (ccf or therms)]])</f>
        <v>0</v>
      </c>
    </row>
    <row r="50" spans="2:33" ht="20.15" customHeight="1">
      <c r="B50" s="55">
        <f>DATE(YEAR(B49),MONTH(B49)+1,DAY(B49))</f>
        <v>43709</v>
      </c>
      <c r="C50" s="45"/>
      <c r="D50" s="40"/>
      <c r="E50" s="404"/>
      <c r="F50" s="45"/>
      <c r="G50" s="41"/>
      <c r="H50" s="42"/>
      <c r="I50" s="43"/>
      <c r="J50" s="398"/>
      <c r="K50" s="398"/>
      <c r="L50" s="41"/>
      <c r="M50" s="42"/>
      <c r="N50" s="43"/>
      <c r="O50" s="398"/>
      <c r="P50" s="398"/>
      <c r="Q50" s="41"/>
      <c r="R50" s="42"/>
      <c r="S50" s="39"/>
      <c r="T50" s="39"/>
      <c r="U50" s="401"/>
      <c r="V50" s="41"/>
      <c r="W50" s="42"/>
      <c r="X50" s="39"/>
      <c r="Y50" s="39"/>
      <c r="Z50" s="401"/>
      <c r="AA50" s="358"/>
      <c r="AD50" s="468">
        <f>#REF!</f>
        <v>43709</v>
      </c>
      <c r="AE50" s="47">
        <v>0</v>
      </c>
      <c r="AF50" s="40"/>
      <c r="AG50" s="469">
        <f>IF(Table5[[#This Row],[Gas usage (ccf or therms)]]=0,0,29.31*Table5[[#This Row],[Gas usage (ccf or therms)]])</f>
        <v>0</v>
      </c>
    </row>
    <row r="51" spans="2:33" ht="20.15" customHeight="1">
      <c r="B51" s="55">
        <f aca="true" t="shared" si="2" ref="B51:B108">DATE(YEAR(B50),MONTH(B50)+1,DAY(B50))</f>
        <v>43739</v>
      </c>
      <c r="C51" s="45"/>
      <c r="D51" s="40"/>
      <c r="E51" s="404"/>
      <c r="F51" s="45"/>
      <c r="G51" s="41"/>
      <c r="H51" s="42"/>
      <c r="I51" s="43"/>
      <c r="J51" s="398"/>
      <c r="K51" s="398"/>
      <c r="L51" s="41"/>
      <c r="M51" s="42"/>
      <c r="N51" s="43"/>
      <c r="O51" s="398"/>
      <c r="P51" s="398"/>
      <c r="Q51" s="41"/>
      <c r="R51" s="42"/>
      <c r="S51" s="39"/>
      <c r="T51" s="39"/>
      <c r="U51" s="401"/>
      <c r="V51" s="41"/>
      <c r="W51" s="42"/>
      <c r="X51" s="39"/>
      <c r="Y51" s="39"/>
      <c r="Z51" s="401"/>
      <c r="AA51" s="358"/>
      <c r="AD51" s="468">
        <f>#REF!</f>
        <v>43739</v>
      </c>
      <c r="AE51" s="47">
        <v>0</v>
      </c>
      <c r="AF51" s="40"/>
      <c r="AG51" s="469">
        <f>IF(Table5[[#This Row],[Gas usage (ccf or therms)]]=0,0,29.31*Table5[[#This Row],[Gas usage (ccf or therms)]])</f>
        <v>0</v>
      </c>
    </row>
    <row r="52" spans="2:33" ht="20.15" customHeight="1">
      <c r="B52" s="55">
        <f t="shared" si="2"/>
        <v>43770</v>
      </c>
      <c r="C52" s="45"/>
      <c r="D52" s="40"/>
      <c r="E52" s="404"/>
      <c r="F52" s="45"/>
      <c r="G52" s="41"/>
      <c r="H52" s="42"/>
      <c r="I52" s="43"/>
      <c r="J52" s="398"/>
      <c r="K52" s="398"/>
      <c r="L52" s="41"/>
      <c r="M52" s="42"/>
      <c r="N52" s="43"/>
      <c r="O52" s="398"/>
      <c r="P52" s="398"/>
      <c r="Q52" s="41"/>
      <c r="R52" s="42"/>
      <c r="S52" s="39"/>
      <c r="T52" s="39"/>
      <c r="U52" s="401"/>
      <c r="V52" s="41"/>
      <c r="W52" s="42"/>
      <c r="X52" s="39"/>
      <c r="Y52" s="39"/>
      <c r="Z52" s="401"/>
      <c r="AA52" s="358"/>
      <c r="AD52" s="468">
        <f>#REF!</f>
        <v>43770</v>
      </c>
      <c r="AE52" s="47">
        <v>0</v>
      </c>
      <c r="AF52" s="40"/>
      <c r="AG52" s="469">
        <f>IF(Table5[[#This Row],[Gas usage (ccf or therms)]]=0,0,29.31*Table5[[#This Row],[Gas usage (ccf or therms)]])</f>
        <v>0</v>
      </c>
    </row>
    <row r="53" spans="2:33" ht="20.15" customHeight="1">
      <c r="B53" s="55">
        <f t="shared" si="2"/>
        <v>43800</v>
      </c>
      <c r="C53" s="45"/>
      <c r="D53" s="40"/>
      <c r="E53" s="404"/>
      <c r="F53" s="45"/>
      <c r="G53" s="41"/>
      <c r="H53" s="42"/>
      <c r="I53" s="43"/>
      <c r="J53" s="398"/>
      <c r="K53" s="398"/>
      <c r="L53" s="41"/>
      <c r="M53" s="42"/>
      <c r="N53" s="43"/>
      <c r="O53" s="398"/>
      <c r="P53" s="398"/>
      <c r="Q53" s="41"/>
      <c r="R53" s="42"/>
      <c r="S53" s="39"/>
      <c r="T53" s="39"/>
      <c r="U53" s="401"/>
      <c r="V53" s="41"/>
      <c r="W53" s="42"/>
      <c r="X53" s="39"/>
      <c r="Y53" s="39"/>
      <c r="Z53" s="401"/>
      <c r="AA53" s="358"/>
      <c r="AD53" s="468">
        <f>#REF!</f>
        <v>43800</v>
      </c>
      <c r="AE53" s="47">
        <v>0</v>
      </c>
      <c r="AF53" s="40"/>
      <c r="AG53" s="469">
        <f>IF(Table5[[#This Row],[Gas usage (ccf or therms)]]=0,0,29.31*Table5[[#This Row],[Gas usage (ccf or therms)]])</f>
        <v>0</v>
      </c>
    </row>
    <row r="54" spans="2:33" ht="20.15" customHeight="1">
      <c r="B54" s="55">
        <f t="shared" si="2"/>
        <v>43831</v>
      </c>
      <c r="C54" s="48"/>
      <c r="D54" s="40"/>
      <c r="E54" s="404"/>
      <c r="F54" s="45"/>
      <c r="G54" s="41"/>
      <c r="H54" s="42"/>
      <c r="I54" s="43"/>
      <c r="J54" s="398"/>
      <c r="K54" s="398"/>
      <c r="L54" s="41"/>
      <c r="M54" s="42"/>
      <c r="N54" s="43"/>
      <c r="O54" s="398"/>
      <c r="P54" s="398"/>
      <c r="Q54" s="41"/>
      <c r="R54" s="42"/>
      <c r="S54" s="39"/>
      <c r="T54" s="39"/>
      <c r="U54" s="401"/>
      <c r="V54" s="41"/>
      <c r="W54" s="42"/>
      <c r="X54" s="39"/>
      <c r="Y54" s="39"/>
      <c r="Z54" s="401"/>
      <c r="AA54" s="358"/>
      <c r="AD54" s="468">
        <f>#REF!</f>
        <v>43831</v>
      </c>
      <c r="AE54" s="47">
        <v>0</v>
      </c>
      <c r="AF54" s="40"/>
      <c r="AG54" s="469">
        <f>IF(Table5[[#This Row],[Gas usage (ccf or therms)]]=0,0,29.31*Table5[[#This Row],[Gas usage (ccf or therms)]])</f>
        <v>0</v>
      </c>
    </row>
    <row r="55" spans="2:33" ht="20.15" customHeight="1">
      <c r="B55" s="55">
        <f t="shared" si="2"/>
        <v>43862</v>
      </c>
      <c r="C55" s="48"/>
      <c r="D55" s="40"/>
      <c r="E55" s="404"/>
      <c r="F55" s="45"/>
      <c r="G55" s="41"/>
      <c r="H55" s="42"/>
      <c r="I55" s="43"/>
      <c r="J55" s="398"/>
      <c r="K55" s="398"/>
      <c r="L55" s="41"/>
      <c r="M55" s="42"/>
      <c r="N55" s="43"/>
      <c r="O55" s="398"/>
      <c r="P55" s="398"/>
      <c r="Q55" s="41"/>
      <c r="R55" s="42"/>
      <c r="S55" s="39"/>
      <c r="T55" s="39"/>
      <c r="U55" s="401"/>
      <c r="V55" s="41"/>
      <c r="W55" s="42"/>
      <c r="X55" s="39"/>
      <c r="Y55" s="39"/>
      <c r="Z55" s="401"/>
      <c r="AA55" s="358"/>
      <c r="AD55" s="468">
        <f>#REF!</f>
        <v>43862</v>
      </c>
      <c r="AE55" s="47">
        <v>0</v>
      </c>
      <c r="AF55" s="40"/>
      <c r="AG55" s="469">
        <f>IF(Table5[[#This Row],[Gas usage (ccf or therms)]]=0,0,29.31*Table5[[#This Row],[Gas usage (ccf or therms)]])</f>
        <v>0</v>
      </c>
    </row>
    <row r="56" spans="2:33" ht="20.15" customHeight="1">
      <c r="B56" s="55">
        <f t="shared" si="2"/>
        <v>43891</v>
      </c>
      <c r="C56" s="48"/>
      <c r="D56" s="40"/>
      <c r="E56" s="404"/>
      <c r="F56" s="45"/>
      <c r="G56" s="41"/>
      <c r="H56" s="42"/>
      <c r="I56" s="43"/>
      <c r="J56" s="398"/>
      <c r="K56" s="398"/>
      <c r="L56" s="41"/>
      <c r="M56" s="42"/>
      <c r="N56" s="43"/>
      <c r="O56" s="398"/>
      <c r="P56" s="398"/>
      <c r="Q56" s="41"/>
      <c r="R56" s="42"/>
      <c r="S56" s="39"/>
      <c r="T56" s="39"/>
      <c r="U56" s="401"/>
      <c r="V56" s="41"/>
      <c r="W56" s="42"/>
      <c r="X56" s="39"/>
      <c r="Y56" s="39"/>
      <c r="Z56" s="401"/>
      <c r="AA56" s="358"/>
      <c r="AD56" s="468">
        <f>#REF!</f>
        <v>43891</v>
      </c>
      <c r="AE56" s="47">
        <v>0</v>
      </c>
      <c r="AF56" s="40"/>
      <c r="AG56" s="469">
        <f>IF(Table5[[#This Row],[Gas usage (ccf or therms)]]=0,0,29.31*Table5[[#This Row],[Gas usage (ccf or therms)]])</f>
        <v>0</v>
      </c>
    </row>
    <row r="57" spans="2:33" ht="20.15" customHeight="1">
      <c r="B57" s="55">
        <f t="shared" si="2"/>
        <v>43922</v>
      </c>
      <c r="C57" s="48"/>
      <c r="D57" s="40"/>
      <c r="E57" s="404"/>
      <c r="F57" s="45"/>
      <c r="G57" s="41"/>
      <c r="H57" s="42"/>
      <c r="I57" s="43"/>
      <c r="J57" s="398"/>
      <c r="K57" s="398"/>
      <c r="L57" s="41"/>
      <c r="M57" s="42"/>
      <c r="N57" s="43"/>
      <c r="O57" s="398"/>
      <c r="P57" s="398"/>
      <c r="Q57" s="41"/>
      <c r="R57" s="42"/>
      <c r="S57" s="39"/>
      <c r="T57" s="39"/>
      <c r="U57" s="401"/>
      <c r="V57" s="41"/>
      <c r="W57" s="42"/>
      <c r="X57" s="39"/>
      <c r="Y57" s="39"/>
      <c r="Z57" s="401"/>
      <c r="AA57" s="358"/>
      <c r="AD57" s="468">
        <f>#REF!</f>
        <v>43922</v>
      </c>
      <c r="AE57" s="47">
        <v>0</v>
      </c>
      <c r="AF57" s="40"/>
      <c r="AG57" s="469">
        <f>IF(Table5[[#This Row],[Gas usage (ccf or therms)]]=0,0,29.31*Table5[[#This Row],[Gas usage (ccf or therms)]])</f>
        <v>0</v>
      </c>
    </row>
    <row r="58" spans="2:33" ht="20.15" customHeight="1">
      <c r="B58" s="55">
        <f t="shared" si="2"/>
        <v>43952</v>
      </c>
      <c r="C58" s="45"/>
      <c r="D58" s="40"/>
      <c r="E58" s="404"/>
      <c r="F58" s="45"/>
      <c r="G58" s="41"/>
      <c r="H58" s="42"/>
      <c r="I58" s="43"/>
      <c r="J58" s="398"/>
      <c r="K58" s="398"/>
      <c r="L58" s="41"/>
      <c r="M58" s="42"/>
      <c r="N58" s="43"/>
      <c r="O58" s="398"/>
      <c r="P58" s="398"/>
      <c r="Q58" s="41"/>
      <c r="R58" s="42"/>
      <c r="S58" s="39"/>
      <c r="T58" s="39"/>
      <c r="U58" s="401"/>
      <c r="V58" s="41"/>
      <c r="W58" s="42"/>
      <c r="X58" s="39"/>
      <c r="Y58" s="39"/>
      <c r="Z58" s="401"/>
      <c r="AA58" s="358"/>
      <c r="AD58" s="468">
        <f>#REF!</f>
        <v>43952</v>
      </c>
      <c r="AE58" s="47">
        <v>0</v>
      </c>
      <c r="AF58" s="40"/>
      <c r="AG58" s="469">
        <f>IF(Table5[[#This Row],[Gas usage (ccf or therms)]]=0,0,29.31*Table5[[#This Row],[Gas usage (ccf or therms)]])</f>
        <v>0</v>
      </c>
    </row>
    <row r="59" spans="2:33" ht="20.15" customHeight="1">
      <c r="B59" s="55">
        <f t="shared" si="2"/>
        <v>43983</v>
      </c>
      <c r="C59" s="45"/>
      <c r="D59" s="40"/>
      <c r="E59" s="404"/>
      <c r="F59" s="45"/>
      <c r="G59" s="41"/>
      <c r="H59" s="42"/>
      <c r="I59" s="43"/>
      <c r="J59" s="398"/>
      <c r="K59" s="398"/>
      <c r="L59" s="41"/>
      <c r="M59" s="42"/>
      <c r="N59" s="43"/>
      <c r="O59" s="398"/>
      <c r="P59" s="398"/>
      <c r="Q59" s="41"/>
      <c r="R59" s="42"/>
      <c r="S59" s="39"/>
      <c r="T59" s="39"/>
      <c r="U59" s="401"/>
      <c r="V59" s="41"/>
      <c r="W59" s="42"/>
      <c r="X59" s="39"/>
      <c r="Y59" s="39"/>
      <c r="Z59" s="401"/>
      <c r="AA59" s="358"/>
      <c r="AD59" s="468">
        <f>#REF!</f>
        <v>43983</v>
      </c>
      <c r="AE59" s="47">
        <v>0</v>
      </c>
      <c r="AF59" s="40"/>
      <c r="AG59" s="469">
        <f>IF(Table5[[#This Row],[Gas usage (ccf or therms)]]=0,0,29.31*Table5[[#This Row],[Gas usage (ccf or therms)]])</f>
        <v>0</v>
      </c>
    </row>
    <row r="60" spans="2:33" ht="20.15" customHeight="1" thickBot="1">
      <c r="B60" s="457">
        <f t="shared" si="2"/>
        <v>44013</v>
      </c>
      <c r="C60" s="275"/>
      <c r="D60" s="269"/>
      <c r="E60" s="405"/>
      <c r="F60" s="268"/>
      <c r="G60" s="270"/>
      <c r="H60" s="271"/>
      <c r="I60" s="272"/>
      <c r="J60" s="399"/>
      <c r="K60" s="399"/>
      <c r="L60" s="270"/>
      <c r="M60" s="271"/>
      <c r="N60" s="272"/>
      <c r="O60" s="399"/>
      <c r="P60" s="399"/>
      <c r="Q60" s="270"/>
      <c r="R60" s="271"/>
      <c r="S60" s="275"/>
      <c r="T60" s="275"/>
      <c r="U60" s="402"/>
      <c r="V60" s="270"/>
      <c r="W60" s="271"/>
      <c r="X60" s="275"/>
      <c r="Y60" s="275"/>
      <c r="Z60" s="402"/>
      <c r="AA60" s="359"/>
      <c r="AD60" s="470">
        <f>#REF!</f>
        <v>44013</v>
      </c>
      <c r="AE60" s="471">
        <v>0</v>
      </c>
      <c r="AF60" s="269"/>
      <c r="AG60" s="472">
        <f>IF(Table5[[#This Row],[Gas usage (ccf or therms)]]=0,0,29.31*Table5[[#This Row],[Gas usage (ccf or therms)]])</f>
        <v>0</v>
      </c>
    </row>
    <row r="61" spans="2:33" ht="20.15" customHeight="1">
      <c r="B61" s="458">
        <f t="shared" si="2"/>
        <v>44044</v>
      </c>
      <c r="C61" s="274"/>
      <c r="D61" s="64"/>
      <c r="E61" s="406"/>
      <c r="F61" s="263"/>
      <c r="G61" s="264"/>
      <c r="H61" s="265"/>
      <c r="I61" s="266"/>
      <c r="J61" s="400"/>
      <c r="K61" s="400"/>
      <c r="L61" s="264"/>
      <c r="M61" s="265"/>
      <c r="N61" s="266"/>
      <c r="O61" s="400"/>
      <c r="P61" s="400"/>
      <c r="Q61" s="264"/>
      <c r="R61" s="265"/>
      <c r="S61" s="274"/>
      <c r="T61" s="274"/>
      <c r="U61" s="403"/>
      <c r="V61" s="264"/>
      <c r="W61" s="265"/>
      <c r="X61" s="274"/>
      <c r="Y61" s="274"/>
      <c r="Z61" s="403"/>
      <c r="AA61" s="360"/>
      <c r="AD61" s="464">
        <f>#REF!</f>
        <v>44044</v>
      </c>
      <c r="AE61" s="465">
        <v>0</v>
      </c>
      <c r="AF61" s="466"/>
      <c r="AG61" s="467">
        <f>IF(Table5[[#This Row],[Gas usage (ccf or therms)]]=0,0,29.31*Table5[[#This Row],[Gas usage (ccf or therms)]])</f>
        <v>0</v>
      </c>
    </row>
    <row r="62" spans="2:33" ht="20.15" customHeight="1">
      <c r="B62" s="459">
        <f t="shared" si="2"/>
        <v>44075</v>
      </c>
      <c r="C62" s="39"/>
      <c r="D62" s="40"/>
      <c r="E62" s="404"/>
      <c r="F62" s="45"/>
      <c r="G62" s="41"/>
      <c r="H62" s="42"/>
      <c r="I62" s="43"/>
      <c r="J62" s="398"/>
      <c r="K62" s="398"/>
      <c r="L62" s="41"/>
      <c r="M62" s="42"/>
      <c r="N62" s="43"/>
      <c r="O62" s="398"/>
      <c r="P62" s="398"/>
      <c r="Q62" s="41"/>
      <c r="R62" s="42"/>
      <c r="S62" s="39"/>
      <c r="T62" s="39"/>
      <c r="U62" s="401"/>
      <c r="V62" s="41"/>
      <c r="W62" s="42"/>
      <c r="X62" s="39"/>
      <c r="Y62" s="39"/>
      <c r="Z62" s="401"/>
      <c r="AA62" s="358"/>
      <c r="AD62" s="468">
        <f>#REF!</f>
        <v>44075</v>
      </c>
      <c r="AE62" s="47">
        <v>0</v>
      </c>
      <c r="AF62" s="40"/>
      <c r="AG62" s="469">
        <f>IF(Table5[[#This Row],[Gas usage (ccf or therms)]]=0,0,29.31*Table5[[#This Row],[Gas usage (ccf or therms)]])</f>
        <v>0</v>
      </c>
    </row>
    <row r="63" spans="2:33" ht="20.15" customHeight="1">
      <c r="B63" s="459">
        <f t="shared" si="2"/>
        <v>44105</v>
      </c>
      <c r="C63" s="39"/>
      <c r="D63" s="40"/>
      <c r="E63" s="404"/>
      <c r="F63" s="45"/>
      <c r="G63" s="41"/>
      <c r="H63" s="42"/>
      <c r="I63" s="43"/>
      <c r="J63" s="398"/>
      <c r="K63" s="398"/>
      <c r="L63" s="41"/>
      <c r="M63" s="42"/>
      <c r="N63" s="43"/>
      <c r="O63" s="398"/>
      <c r="P63" s="398"/>
      <c r="Q63" s="41"/>
      <c r="R63" s="42"/>
      <c r="S63" s="39"/>
      <c r="T63" s="39"/>
      <c r="U63" s="401"/>
      <c r="V63" s="41"/>
      <c r="W63" s="42"/>
      <c r="X63" s="39"/>
      <c r="Y63" s="39"/>
      <c r="Z63" s="401"/>
      <c r="AA63" s="358"/>
      <c r="AD63" s="468">
        <f>#REF!</f>
        <v>44105</v>
      </c>
      <c r="AE63" s="47">
        <v>0</v>
      </c>
      <c r="AF63" s="40"/>
      <c r="AG63" s="469">
        <f>IF(Table5[[#This Row],[Gas usage (ccf or therms)]]=0,0,29.31*Table5[[#This Row],[Gas usage (ccf or therms)]])</f>
        <v>0</v>
      </c>
    </row>
    <row r="64" spans="2:33" ht="20.15" customHeight="1">
      <c r="B64" s="459">
        <f t="shared" si="2"/>
        <v>44136</v>
      </c>
      <c r="C64" s="49"/>
      <c r="D64" s="40"/>
      <c r="E64" s="404"/>
      <c r="F64" s="45"/>
      <c r="G64" s="41"/>
      <c r="H64" s="42"/>
      <c r="I64" s="43"/>
      <c r="J64" s="398"/>
      <c r="K64" s="398"/>
      <c r="L64" s="41"/>
      <c r="M64" s="42"/>
      <c r="N64" s="43"/>
      <c r="O64" s="398"/>
      <c r="P64" s="398"/>
      <c r="Q64" s="41"/>
      <c r="R64" s="42"/>
      <c r="S64" s="39"/>
      <c r="T64" s="39"/>
      <c r="U64" s="401"/>
      <c r="V64" s="41"/>
      <c r="W64" s="42"/>
      <c r="X64" s="39"/>
      <c r="Y64" s="39"/>
      <c r="Z64" s="401"/>
      <c r="AA64" s="358"/>
      <c r="AD64" s="468">
        <f>#REF!</f>
        <v>44136</v>
      </c>
      <c r="AE64" s="47">
        <v>0</v>
      </c>
      <c r="AF64" s="40"/>
      <c r="AG64" s="469">
        <f>IF(Table5[[#This Row],[Gas usage (ccf or therms)]]=0,0,29.31*Table5[[#This Row],[Gas usage (ccf or therms)]])</f>
        <v>0</v>
      </c>
    </row>
    <row r="65" spans="2:33" ht="20.15" customHeight="1">
      <c r="B65" s="459">
        <f t="shared" si="2"/>
        <v>44166</v>
      </c>
      <c r="C65" s="39"/>
      <c r="D65" s="40"/>
      <c r="E65" s="404"/>
      <c r="F65" s="45"/>
      <c r="G65" s="41"/>
      <c r="H65" s="42"/>
      <c r="I65" s="43"/>
      <c r="J65" s="398"/>
      <c r="K65" s="398"/>
      <c r="L65" s="41"/>
      <c r="M65" s="42"/>
      <c r="N65" s="43"/>
      <c r="O65" s="398"/>
      <c r="P65" s="398"/>
      <c r="Q65" s="41"/>
      <c r="R65" s="42"/>
      <c r="S65" s="39"/>
      <c r="T65" s="39"/>
      <c r="U65" s="401"/>
      <c r="V65" s="41"/>
      <c r="W65" s="42"/>
      <c r="X65" s="39"/>
      <c r="Y65" s="39"/>
      <c r="Z65" s="401"/>
      <c r="AA65" s="358"/>
      <c r="AD65" s="468">
        <f>#REF!</f>
        <v>44166</v>
      </c>
      <c r="AE65" s="47">
        <v>0</v>
      </c>
      <c r="AF65" s="40"/>
      <c r="AG65" s="469">
        <f>IF(Table5[[#This Row],[Gas usage (ccf or therms)]]=0,0,29.31*Table5[[#This Row],[Gas usage (ccf or therms)]])</f>
        <v>0</v>
      </c>
    </row>
    <row r="66" spans="2:33" ht="20.15" customHeight="1">
      <c r="B66" s="459">
        <f t="shared" si="2"/>
        <v>44197</v>
      </c>
      <c r="C66" s="39"/>
      <c r="D66" s="40"/>
      <c r="E66" s="404"/>
      <c r="F66" s="45"/>
      <c r="G66" s="41"/>
      <c r="H66" s="42"/>
      <c r="I66" s="43"/>
      <c r="J66" s="398"/>
      <c r="K66" s="398"/>
      <c r="L66" s="41"/>
      <c r="M66" s="42"/>
      <c r="N66" s="43"/>
      <c r="O66" s="398"/>
      <c r="P66" s="398"/>
      <c r="Q66" s="41"/>
      <c r="R66" s="42"/>
      <c r="S66" s="39"/>
      <c r="T66" s="39"/>
      <c r="U66" s="401"/>
      <c r="V66" s="41"/>
      <c r="W66" s="42"/>
      <c r="X66" s="39"/>
      <c r="Y66" s="39"/>
      <c r="Z66" s="401"/>
      <c r="AA66" s="358"/>
      <c r="AD66" s="468">
        <f>#REF!</f>
        <v>44197</v>
      </c>
      <c r="AE66" s="47">
        <v>0</v>
      </c>
      <c r="AF66" s="40"/>
      <c r="AG66" s="469">
        <f>IF(Table5[[#This Row],[Gas usage (ccf or therms)]]=0,0,29.31*Table5[[#This Row],[Gas usage (ccf or therms)]])</f>
        <v>0</v>
      </c>
    </row>
    <row r="67" spans="2:33" ht="20.15" customHeight="1">
      <c r="B67" s="459">
        <f t="shared" si="2"/>
        <v>44228</v>
      </c>
      <c r="C67" s="39"/>
      <c r="D67" s="40"/>
      <c r="E67" s="404"/>
      <c r="F67" s="45"/>
      <c r="G67" s="41"/>
      <c r="H67" s="42"/>
      <c r="I67" s="43"/>
      <c r="J67" s="398"/>
      <c r="K67" s="398"/>
      <c r="L67" s="41"/>
      <c r="M67" s="42"/>
      <c r="N67" s="43"/>
      <c r="O67" s="398"/>
      <c r="P67" s="398"/>
      <c r="Q67" s="41"/>
      <c r="R67" s="42"/>
      <c r="S67" s="39"/>
      <c r="T67" s="39"/>
      <c r="U67" s="401"/>
      <c r="V67" s="41"/>
      <c r="W67" s="42"/>
      <c r="X67" s="39"/>
      <c r="Y67" s="39"/>
      <c r="Z67" s="401"/>
      <c r="AA67" s="358"/>
      <c r="AD67" s="468">
        <f>#REF!</f>
        <v>44228</v>
      </c>
      <c r="AE67" s="47">
        <v>0</v>
      </c>
      <c r="AF67" s="40"/>
      <c r="AG67" s="469">
        <f>IF(Table5[[#This Row],[Gas usage (ccf or therms)]]=0,0,29.31*Table5[[#This Row],[Gas usage (ccf or therms)]])</f>
        <v>0</v>
      </c>
    </row>
    <row r="68" spans="2:33" ht="20.15" customHeight="1">
      <c r="B68" s="459">
        <f t="shared" si="2"/>
        <v>44256</v>
      </c>
      <c r="C68" s="39"/>
      <c r="D68" s="40"/>
      <c r="E68" s="404"/>
      <c r="F68" s="45"/>
      <c r="G68" s="41"/>
      <c r="H68" s="42"/>
      <c r="I68" s="43"/>
      <c r="J68" s="398"/>
      <c r="K68" s="398"/>
      <c r="L68" s="41"/>
      <c r="M68" s="42"/>
      <c r="N68" s="43"/>
      <c r="O68" s="398"/>
      <c r="P68" s="398"/>
      <c r="Q68" s="41"/>
      <c r="R68" s="42"/>
      <c r="S68" s="39"/>
      <c r="T68" s="39"/>
      <c r="U68" s="401"/>
      <c r="V68" s="41"/>
      <c r="W68" s="42"/>
      <c r="X68" s="39"/>
      <c r="Y68" s="39"/>
      <c r="Z68" s="401"/>
      <c r="AA68" s="358"/>
      <c r="AD68" s="468">
        <f>#REF!</f>
        <v>44256</v>
      </c>
      <c r="AE68" s="47">
        <v>0</v>
      </c>
      <c r="AF68" s="40"/>
      <c r="AG68" s="469">
        <f>IF(Table5[[#This Row],[Gas usage (ccf or therms)]]=0,0,29.31*Table5[[#This Row],[Gas usage (ccf or therms)]])</f>
        <v>0</v>
      </c>
    </row>
    <row r="69" spans="2:33" ht="20.15" customHeight="1">
      <c r="B69" s="459">
        <f t="shared" si="2"/>
        <v>44287</v>
      </c>
      <c r="C69" s="39"/>
      <c r="D69" s="40"/>
      <c r="E69" s="404"/>
      <c r="F69" s="45"/>
      <c r="G69" s="41"/>
      <c r="H69" s="42"/>
      <c r="I69" s="43"/>
      <c r="J69" s="398"/>
      <c r="K69" s="398"/>
      <c r="L69" s="41"/>
      <c r="M69" s="42"/>
      <c r="N69" s="43"/>
      <c r="O69" s="398"/>
      <c r="P69" s="398"/>
      <c r="Q69" s="41"/>
      <c r="R69" s="42"/>
      <c r="S69" s="39"/>
      <c r="T69" s="39"/>
      <c r="U69" s="401"/>
      <c r="V69" s="41"/>
      <c r="W69" s="42"/>
      <c r="X69" s="39"/>
      <c r="Y69" s="39"/>
      <c r="Z69" s="401"/>
      <c r="AA69" s="358"/>
      <c r="AD69" s="468">
        <f>#REF!</f>
        <v>44287</v>
      </c>
      <c r="AE69" s="47">
        <v>0</v>
      </c>
      <c r="AF69" s="40"/>
      <c r="AG69" s="469">
        <f>IF(Table5[[#This Row],[Gas usage (ccf or therms)]]=0,0,29.31*Table5[[#This Row],[Gas usage (ccf or therms)]])</f>
        <v>0</v>
      </c>
    </row>
    <row r="70" spans="2:33" ht="20.15" customHeight="1">
      <c r="B70" s="459">
        <f t="shared" si="2"/>
        <v>44317</v>
      </c>
      <c r="C70" s="39"/>
      <c r="D70" s="40"/>
      <c r="E70" s="404"/>
      <c r="F70" s="45"/>
      <c r="G70" s="41"/>
      <c r="H70" s="42"/>
      <c r="I70" s="43"/>
      <c r="J70" s="398"/>
      <c r="K70" s="398"/>
      <c r="L70" s="41"/>
      <c r="M70" s="42"/>
      <c r="N70" s="43"/>
      <c r="O70" s="398"/>
      <c r="P70" s="398"/>
      <c r="Q70" s="41"/>
      <c r="R70" s="42"/>
      <c r="S70" s="39"/>
      <c r="T70" s="39"/>
      <c r="U70" s="401"/>
      <c r="V70" s="41"/>
      <c r="W70" s="42"/>
      <c r="X70" s="39"/>
      <c r="Y70" s="39"/>
      <c r="Z70" s="401"/>
      <c r="AA70" s="358"/>
      <c r="AD70" s="468">
        <f>#REF!</f>
        <v>44317</v>
      </c>
      <c r="AE70" s="47">
        <v>0</v>
      </c>
      <c r="AF70" s="40"/>
      <c r="AG70" s="469">
        <f>IF(Table5[[#This Row],[Gas usage (ccf or therms)]]=0,0,29.31*Table5[[#This Row],[Gas usage (ccf or therms)]])</f>
        <v>0</v>
      </c>
    </row>
    <row r="71" spans="2:33" ht="20.15" customHeight="1">
      <c r="B71" s="459">
        <f t="shared" si="2"/>
        <v>44348</v>
      </c>
      <c r="C71" s="39"/>
      <c r="D71" s="40"/>
      <c r="E71" s="404"/>
      <c r="F71" s="45"/>
      <c r="G71" s="41"/>
      <c r="H71" s="42"/>
      <c r="I71" s="43"/>
      <c r="J71" s="398"/>
      <c r="K71" s="398"/>
      <c r="L71" s="41"/>
      <c r="M71" s="42"/>
      <c r="N71" s="43"/>
      <c r="O71" s="398"/>
      <c r="P71" s="398"/>
      <c r="Q71" s="41"/>
      <c r="R71" s="42"/>
      <c r="S71" s="39"/>
      <c r="T71" s="39"/>
      <c r="U71" s="401"/>
      <c r="V71" s="41"/>
      <c r="W71" s="42"/>
      <c r="X71" s="39"/>
      <c r="Y71" s="39"/>
      <c r="Z71" s="401"/>
      <c r="AA71" s="358"/>
      <c r="AD71" s="468">
        <f>#REF!</f>
        <v>44348</v>
      </c>
      <c r="AE71" s="47">
        <v>0</v>
      </c>
      <c r="AF71" s="40"/>
      <c r="AG71" s="469">
        <f>IF(Table5[[#This Row],[Gas usage (ccf or therms)]]=0,0,29.31*Table5[[#This Row],[Gas usage (ccf or therms)]])</f>
        <v>0</v>
      </c>
    </row>
    <row r="72" spans="2:33" ht="20.15" customHeight="1" thickBot="1">
      <c r="B72" s="460">
        <f t="shared" si="2"/>
        <v>44378</v>
      </c>
      <c r="C72" s="275"/>
      <c r="D72" s="269"/>
      <c r="E72" s="405"/>
      <c r="F72" s="268"/>
      <c r="G72" s="270"/>
      <c r="H72" s="271"/>
      <c r="I72" s="272"/>
      <c r="J72" s="399"/>
      <c r="K72" s="399"/>
      <c r="L72" s="270"/>
      <c r="M72" s="271"/>
      <c r="N72" s="272"/>
      <c r="O72" s="399"/>
      <c r="P72" s="399"/>
      <c r="Q72" s="270"/>
      <c r="R72" s="271"/>
      <c r="S72" s="275"/>
      <c r="T72" s="275"/>
      <c r="U72" s="402"/>
      <c r="V72" s="270"/>
      <c r="W72" s="271"/>
      <c r="X72" s="275"/>
      <c r="Y72" s="275"/>
      <c r="Z72" s="402"/>
      <c r="AA72" s="359"/>
      <c r="AD72" s="470">
        <f>#REF!</f>
        <v>44378</v>
      </c>
      <c r="AE72" s="471">
        <v>0</v>
      </c>
      <c r="AF72" s="269"/>
      <c r="AG72" s="472">
        <f>IF(Table5[[#This Row],[Gas usage (ccf or therms)]]=0,0,29.31*Table5[[#This Row],[Gas usage (ccf or therms)]])</f>
        <v>0</v>
      </c>
    </row>
    <row r="73" spans="2:33" ht="20.15" customHeight="1">
      <c r="B73" s="458">
        <f t="shared" si="2"/>
        <v>44409</v>
      </c>
      <c r="C73" s="274"/>
      <c r="D73" s="64"/>
      <c r="E73" s="406"/>
      <c r="F73" s="263"/>
      <c r="G73" s="264"/>
      <c r="H73" s="265"/>
      <c r="I73" s="266"/>
      <c r="J73" s="400"/>
      <c r="K73" s="400"/>
      <c r="L73" s="264"/>
      <c r="M73" s="265"/>
      <c r="N73" s="266"/>
      <c r="O73" s="400"/>
      <c r="P73" s="400"/>
      <c r="Q73" s="264"/>
      <c r="R73" s="265"/>
      <c r="S73" s="274"/>
      <c r="T73" s="274"/>
      <c r="U73" s="403"/>
      <c r="V73" s="264"/>
      <c r="W73" s="265"/>
      <c r="X73" s="274"/>
      <c r="Y73" s="274"/>
      <c r="Z73" s="403"/>
      <c r="AA73" s="360"/>
      <c r="AD73" s="464">
        <f>#REF!</f>
        <v>44409</v>
      </c>
      <c r="AE73" s="465">
        <v>0</v>
      </c>
      <c r="AF73" s="466"/>
      <c r="AG73" s="467">
        <f>IF(Table5[[#This Row],[Gas usage (ccf or therms)]]=0,0,29.31*Table5[[#This Row],[Gas usage (ccf or therms)]])</f>
        <v>0</v>
      </c>
    </row>
    <row r="74" spans="2:33" ht="20.15" customHeight="1">
      <c r="B74" s="459">
        <f t="shared" si="2"/>
        <v>44440</v>
      </c>
      <c r="C74" s="39"/>
      <c r="D74" s="40"/>
      <c r="E74" s="404"/>
      <c r="F74" s="45"/>
      <c r="G74" s="41"/>
      <c r="H74" s="42"/>
      <c r="I74" s="43"/>
      <c r="J74" s="398"/>
      <c r="K74" s="398"/>
      <c r="L74" s="41"/>
      <c r="M74" s="42"/>
      <c r="N74" s="43"/>
      <c r="O74" s="398"/>
      <c r="P74" s="398"/>
      <c r="Q74" s="41"/>
      <c r="R74" s="42"/>
      <c r="S74" s="39"/>
      <c r="T74" s="39"/>
      <c r="U74" s="401"/>
      <c r="V74" s="41"/>
      <c r="W74" s="42"/>
      <c r="X74" s="39"/>
      <c r="Y74" s="39"/>
      <c r="Z74" s="401"/>
      <c r="AA74" s="358"/>
      <c r="AD74" s="468">
        <f>#REF!</f>
        <v>44440</v>
      </c>
      <c r="AE74" s="47">
        <v>0</v>
      </c>
      <c r="AF74" s="40"/>
      <c r="AG74" s="469">
        <f>IF(Table5[[#This Row],[Gas usage (ccf or therms)]]=0,0,29.31*Table5[[#This Row],[Gas usage (ccf or therms)]])</f>
        <v>0</v>
      </c>
    </row>
    <row r="75" spans="2:33" ht="20.15" customHeight="1">
      <c r="B75" s="459">
        <f t="shared" si="2"/>
        <v>44470</v>
      </c>
      <c r="C75" s="39"/>
      <c r="D75" s="40"/>
      <c r="E75" s="404"/>
      <c r="F75" s="45"/>
      <c r="G75" s="41"/>
      <c r="H75" s="42"/>
      <c r="I75" s="43"/>
      <c r="J75" s="398"/>
      <c r="K75" s="398"/>
      <c r="L75" s="41"/>
      <c r="M75" s="42"/>
      <c r="N75" s="43"/>
      <c r="O75" s="398"/>
      <c r="P75" s="398"/>
      <c r="Q75" s="41"/>
      <c r="R75" s="42"/>
      <c r="S75" s="39"/>
      <c r="T75" s="39"/>
      <c r="U75" s="401"/>
      <c r="V75" s="41"/>
      <c r="W75" s="42"/>
      <c r="X75" s="39"/>
      <c r="Y75" s="39"/>
      <c r="Z75" s="401"/>
      <c r="AA75" s="358"/>
      <c r="AD75" s="468">
        <f>#REF!</f>
        <v>44470</v>
      </c>
      <c r="AE75" s="47">
        <v>0</v>
      </c>
      <c r="AF75" s="40"/>
      <c r="AG75" s="469">
        <f>IF(Table5[[#This Row],[Gas usage (ccf or therms)]]=0,0,29.31*Table5[[#This Row],[Gas usage (ccf or therms)]])</f>
        <v>0</v>
      </c>
    </row>
    <row r="76" spans="2:33" ht="20.15" customHeight="1">
      <c r="B76" s="459">
        <f t="shared" si="2"/>
        <v>44501</v>
      </c>
      <c r="C76" s="39"/>
      <c r="D76" s="40"/>
      <c r="E76" s="404"/>
      <c r="F76" s="45"/>
      <c r="G76" s="41"/>
      <c r="H76" s="42"/>
      <c r="I76" s="43"/>
      <c r="J76" s="398"/>
      <c r="K76" s="398"/>
      <c r="L76" s="41"/>
      <c r="M76" s="42"/>
      <c r="N76" s="43"/>
      <c r="O76" s="398"/>
      <c r="P76" s="398"/>
      <c r="Q76" s="41"/>
      <c r="R76" s="42"/>
      <c r="S76" s="39"/>
      <c r="T76" s="39"/>
      <c r="U76" s="401"/>
      <c r="V76" s="41"/>
      <c r="W76" s="42"/>
      <c r="X76" s="39"/>
      <c r="Y76" s="39"/>
      <c r="Z76" s="401"/>
      <c r="AA76" s="358"/>
      <c r="AD76" s="468">
        <f>#REF!</f>
        <v>44501</v>
      </c>
      <c r="AE76" s="47">
        <v>0</v>
      </c>
      <c r="AF76" s="40"/>
      <c r="AG76" s="469">
        <f>IF(Table5[[#This Row],[Gas usage (ccf or therms)]]=0,0,29.31*Table5[[#This Row],[Gas usage (ccf or therms)]])</f>
        <v>0</v>
      </c>
    </row>
    <row r="77" spans="2:33" ht="20.15" customHeight="1">
      <c r="B77" s="459">
        <f t="shared" si="2"/>
        <v>44531</v>
      </c>
      <c r="C77" s="39"/>
      <c r="D77" s="40"/>
      <c r="E77" s="404"/>
      <c r="F77" s="45"/>
      <c r="G77" s="41"/>
      <c r="H77" s="42"/>
      <c r="I77" s="43"/>
      <c r="J77" s="398"/>
      <c r="K77" s="398"/>
      <c r="L77" s="41"/>
      <c r="M77" s="42"/>
      <c r="N77" s="43"/>
      <c r="O77" s="398"/>
      <c r="P77" s="398"/>
      <c r="Q77" s="41"/>
      <c r="R77" s="42"/>
      <c r="S77" s="39"/>
      <c r="T77" s="39"/>
      <c r="U77" s="401"/>
      <c r="V77" s="41"/>
      <c r="W77" s="42"/>
      <c r="X77" s="39"/>
      <c r="Y77" s="39"/>
      <c r="Z77" s="401"/>
      <c r="AA77" s="358"/>
      <c r="AD77" s="468">
        <f>#REF!</f>
        <v>44531</v>
      </c>
      <c r="AE77" s="47">
        <v>0</v>
      </c>
      <c r="AF77" s="40"/>
      <c r="AG77" s="469">
        <f>IF(Table5[[#This Row],[Gas usage (ccf or therms)]]=0,0,29.31*Table5[[#This Row],[Gas usage (ccf or therms)]])</f>
        <v>0</v>
      </c>
    </row>
    <row r="78" spans="2:33" ht="20.15" customHeight="1">
      <c r="B78" s="459">
        <f t="shared" si="2"/>
        <v>44562</v>
      </c>
      <c r="C78" s="39"/>
      <c r="D78" s="40"/>
      <c r="E78" s="404"/>
      <c r="F78" s="45"/>
      <c r="G78" s="41"/>
      <c r="H78" s="42"/>
      <c r="I78" s="43"/>
      <c r="J78" s="398"/>
      <c r="K78" s="398"/>
      <c r="L78" s="41"/>
      <c r="M78" s="42"/>
      <c r="N78" s="43"/>
      <c r="O78" s="398"/>
      <c r="P78" s="398"/>
      <c r="Q78" s="41"/>
      <c r="R78" s="42"/>
      <c r="S78" s="39"/>
      <c r="T78" s="39"/>
      <c r="U78" s="401"/>
      <c r="V78" s="41"/>
      <c r="W78" s="42"/>
      <c r="X78" s="39"/>
      <c r="Y78" s="39"/>
      <c r="Z78" s="401"/>
      <c r="AA78" s="358"/>
      <c r="AD78" s="468">
        <f>#REF!</f>
        <v>44562</v>
      </c>
      <c r="AE78" s="47">
        <v>0</v>
      </c>
      <c r="AF78" s="40"/>
      <c r="AG78" s="469">
        <f>IF(Table5[[#This Row],[Gas usage (ccf or therms)]]=0,0,29.31*Table5[[#This Row],[Gas usage (ccf or therms)]])</f>
        <v>0</v>
      </c>
    </row>
    <row r="79" spans="2:33" ht="20.15" customHeight="1">
      <c r="B79" s="459">
        <f t="shared" si="2"/>
        <v>44593</v>
      </c>
      <c r="C79" s="39"/>
      <c r="D79" s="40"/>
      <c r="E79" s="404"/>
      <c r="F79" s="45"/>
      <c r="G79" s="41"/>
      <c r="H79" s="42"/>
      <c r="I79" s="43"/>
      <c r="J79" s="398"/>
      <c r="K79" s="398"/>
      <c r="L79" s="41"/>
      <c r="M79" s="42"/>
      <c r="N79" s="43"/>
      <c r="O79" s="398"/>
      <c r="P79" s="398"/>
      <c r="Q79" s="41"/>
      <c r="R79" s="42"/>
      <c r="S79" s="39"/>
      <c r="T79" s="39"/>
      <c r="U79" s="401"/>
      <c r="V79" s="41"/>
      <c r="W79" s="42"/>
      <c r="X79" s="39"/>
      <c r="Y79" s="39"/>
      <c r="Z79" s="401"/>
      <c r="AA79" s="358"/>
      <c r="AD79" s="468">
        <f>#REF!</f>
        <v>44593</v>
      </c>
      <c r="AE79" s="47">
        <v>0</v>
      </c>
      <c r="AF79" s="40"/>
      <c r="AG79" s="469">
        <f>IF(Table5[[#This Row],[Gas usage (ccf or therms)]]=0,0,29.31*Table5[[#This Row],[Gas usage (ccf or therms)]])</f>
        <v>0</v>
      </c>
    </row>
    <row r="80" spans="2:33" ht="20.15" customHeight="1">
      <c r="B80" s="459">
        <f t="shared" si="2"/>
        <v>44621</v>
      </c>
      <c r="C80" s="39"/>
      <c r="D80" s="40"/>
      <c r="E80" s="404"/>
      <c r="F80" s="45"/>
      <c r="G80" s="41"/>
      <c r="H80" s="42"/>
      <c r="I80" s="43"/>
      <c r="J80" s="398"/>
      <c r="K80" s="398"/>
      <c r="L80" s="41"/>
      <c r="M80" s="42"/>
      <c r="N80" s="43"/>
      <c r="O80" s="398"/>
      <c r="P80" s="398"/>
      <c r="Q80" s="41"/>
      <c r="R80" s="42"/>
      <c r="S80" s="39"/>
      <c r="T80" s="39"/>
      <c r="U80" s="401"/>
      <c r="V80" s="41"/>
      <c r="W80" s="42"/>
      <c r="X80" s="39"/>
      <c r="Y80" s="39"/>
      <c r="Z80" s="401"/>
      <c r="AA80" s="358"/>
      <c r="AD80" s="468">
        <f>#REF!</f>
        <v>44621</v>
      </c>
      <c r="AE80" s="47">
        <v>0</v>
      </c>
      <c r="AF80" s="40"/>
      <c r="AG80" s="469">
        <f>IF(Table5[[#This Row],[Gas usage (ccf or therms)]]=0,0,29.31*Table5[[#This Row],[Gas usage (ccf or therms)]])</f>
        <v>0</v>
      </c>
    </row>
    <row r="81" spans="2:33" ht="20.15" customHeight="1">
      <c r="B81" s="459">
        <f t="shared" si="2"/>
        <v>44652</v>
      </c>
      <c r="C81" s="39"/>
      <c r="D81" s="40"/>
      <c r="E81" s="404"/>
      <c r="F81" s="45"/>
      <c r="G81" s="41"/>
      <c r="H81" s="42"/>
      <c r="I81" s="43"/>
      <c r="J81" s="398"/>
      <c r="K81" s="398"/>
      <c r="L81" s="41"/>
      <c r="M81" s="42"/>
      <c r="N81" s="43"/>
      <c r="O81" s="398"/>
      <c r="P81" s="398"/>
      <c r="Q81" s="41"/>
      <c r="R81" s="42"/>
      <c r="S81" s="39"/>
      <c r="T81" s="39"/>
      <c r="U81" s="401"/>
      <c r="V81" s="41"/>
      <c r="W81" s="42"/>
      <c r="X81" s="39"/>
      <c r="Y81" s="39"/>
      <c r="Z81" s="401"/>
      <c r="AA81" s="358"/>
      <c r="AD81" s="468">
        <f>#REF!</f>
        <v>44652</v>
      </c>
      <c r="AE81" s="47">
        <v>0</v>
      </c>
      <c r="AF81" s="40"/>
      <c r="AG81" s="469">
        <f>IF(Table5[[#This Row],[Gas usage (ccf or therms)]]=0,0,29.31*Table5[[#This Row],[Gas usage (ccf or therms)]])</f>
        <v>0</v>
      </c>
    </row>
    <row r="82" spans="2:33" ht="20.15" customHeight="1">
      <c r="B82" s="459">
        <f t="shared" si="2"/>
        <v>44682</v>
      </c>
      <c r="C82" s="39"/>
      <c r="D82" s="40"/>
      <c r="E82" s="404"/>
      <c r="F82" s="45"/>
      <c r="G82" s="41"/>
      <c r="H82" s="42"/>
      <c r="I82" s="43"/>
      <c r="J82" s="398"/>
      <c r="K82" s="398"/>
      <c r="L82" s="41"/>
      <c r="M82" s="42"/>
      <c r="N82" s="43"/>
      <c r="O82" s="398"/>
      <c r="P82" s="398"/>
      <c r="Q82" s="41"/>
      <c r="R82" s="42"/>
      <c r="S82" s="39"/>
      <c r="T82" s="39"/>
      <c r="U82" s="401"/>
      <c r="V82" s="41"/>
      <c r="W82" s="42"/>
      <c r="X82" s="39"/>
      <c r="Y82" s="39"/>
      <c r="Z82" s="401"/>
      <c r="AA82" s="358"/>
      <c r="AD82" s="468">
        <f>#REF!</f>
        <v>44682</v>
      </c>
      <c r="AE82" s="47">
        <v>0</v>
      </c>
      <c r="AF82" s="40"/>
      <c r="AG82" s="469">
        <f>IF(Table5[[#This Row],[Gas usage (ccf or therms)]]=0,0,29.31*Table5[[#This Row],[Gas usage (ccf or therms)]])</f>
        <v>0</v>
      </c>
    </row>
    <row r="83" spans="2:33" ht="20.15" customHeight="1">
      <c r="B83" s="459">
        <f t="shared" si="2"/>
        <v>44713</v>
      </c>
      <c r="C83" s="39"/>
      <c r="D83" s="40"/>
      <c r="E83" s="404"/>
      <c r="F83" s="45"/>
      <c r="G83" s="41"/>
      <c r="H83" s="42"/>
      <c r="I83" s="43"/>
      <c r="J83" s="398"/>
      <c r="K83" s="398"/>
      <c r="L83" s="41"/>
      <c r="M83" s="42"/>
      <c r="N83" s="43"/>
      <c r="O83" s="398"/>
      <c r="P83" s="398"/>
      <c r="Q83" s="41"/>
      <c r="R83" s="42"/>
      <c r="S83" s="39"/>
      <c r="T83" s="39"/>
      <c r="U83" s="401"/>
      <c r="V83" s="41"/>
      <c r="W83" s="42"/>
      <c r="X83" s="39"/>
      <c r="Y83" s="39"/>
      <c r="Z83" s="401"/>
      <c r="AA83" s="358"/>
      <c r="AD83" s="468">
        <f>#REF!</f>
        <v>44713</v>
      </c>
      <c r="AE83" s="47">
        <v>0</v>
      </c>
      <c r="AF83" s="40"/>
      <c r="AG83" s="469">
        <f>IF(Table5[[#This Row],[Gas usage (ccf or therms)]]=0,0,29.31*Table5[[#This Row],[Gas usage (ccf or therms)]])</f>
        <v>0</v>
      </c>
    </row>
    <row r="84" spans="2:33" ht="20.15" customHeight="1" thickBot="1">
      <c r="B84" s="460">
        <f t="shared" si="2"/>
        <v>44743</v>
      </c>
      <c r="C84" s="275"/>
      <c r="D84" s="269"/>
      <c r="E84" s="405"/>
      <c r="F84" s="268"/>
      <c r="G84" s="270"/>
      <c r="H84" s="271"/>
      <c r="I84" s="272"/>
      <c r="J84" s="399"/>
      <c r="K84" s="399"/>
      <c r="L84" s="270"/>
      <c r="M84" s="271"/>
      <c r="N84" s="272"/>
      <c r="O84" s="399"/>
      <c r="P84" s="399"/>
      <c r="Q84" s="270"/>
      <c r="R84" s="271"/>
      <c r="S84" s="275"/>
      <c r="T84" s="275"/>
      <c r="U84" s="402"/>
      <c r="V84" s="270"/>
      <c r="W84" s="271"/>
      <c r="X84" s="275"/>
      <c r="Y84" s="275"/>
      <c r="Z84" s="402"/>
      <c r="AA84" s="359"/>
      <c r="AD84" s="470">
        <f>#REF!</f>
        <v>44743</v>
      </c>
      <c r="AE84" s="471">
        <v>0</v>
      </c>
      <c r="AF84" s="269"/>
      <c r="AG84" s="472">
        <f>IF(Table5[[#This Row],[Gas usage (ccf or therms)]]=0,0,29.31*Table5[[#This Row],[Gas usage (ccf or therms)]])</f>
        <v>0</v>
      </c>
    </row>
    <row r="85" spans="2:33" ht="20.15" customHeight="1">
      <c r="B85" s="458">
        <f t="shared" si="2"/>
        <v>44774</v>
      </c>
      <c r="C85" s="274"/>
      <c r="D85" s="64"/>
      <c r="E85" s="406"/>
      <c r="F85" s="263"/>
      <c r="G85" s="264"/>
      <c r="H85" s="265"/>
      <c r="I85" s="266"/>
      <c r="J85" s="400"/>
      <c r="K85" s="400"/>
      <c r="L85" s="264"/>
      <c r="M85" s="265"/>
      <c r="N85" s="266"/>
      <c r="O85" s="400"/>
      <c r="P85" s="400"/>
      <c r="Q85" s="264"/>
      <c r="R85" s="265"/>
      <c r="S85" s="274"/>
      <c r="T85" s="274"/>
      <c r="U85" s="403"/>
      <c r="V85" s="264"/>
      <c r="W85" s="265"/>
      <c r="X85" s="274"/>
      <c r="Y85" s="274"/>
      <c r="Z85" s="403"/>
      <c r="AA85" s="360"/>
      <c r="AD85" s="464">
        <f>#REF!</f>
        <v>44774</v>
      </c>
      <c r="AE85" s="465">
        <v>0</v>
      </c>
      <c r="AF85" s="466"/>
      <c r="AG85" s="467">
        <f>IF(Table5[[#This Row],[Gas usage (ccf or therms)]]=0,0,29.31*Table5[[#This Row],[Gas usage (ccf or therms)]])</f>
        <v>0</v>
      </c>
    </row>
    <row r="86" spans="2:33" ht="20.15" customHeight="1">
      <c r="B86" s="459">
        <f t="shared" si="2"/>
        <v>44805</v>
      </c>
      <c r="C86" s="39"/>
      <c r="D86" s="40"/>
      <c r="E86" s="404"/>
      <c r="F86" s="45"/>
      <c r="G86" s="41"/>
      <c r="H86" s="42"/>
      <c r="I86" s="43"/>
      <c r="J86" s="398"/>
      <c r="K86" s="398"/>
      <c r="L86" s="41"/>
      <c r="M86" s="42"/>
      <c r="N86" s="43"/>
      <c r="O86" s="398"/>
      <c r="P86" s="398"/>
      <c r="Q86" s="41"/>
      <c r="R86" s="42"/>
      <c r="S86" s="39"/>
      <c r="T86" s="39"/>
      <c r="U86" s="401"/>
      <c r="V86" s="41"/>
      <c r="W86" s="42"/>
      <c r="X86" s="39"/>
      <c r="Y86" s="39"/>
      <c r="Z86" s="401"/>
      <c r="AA86" s="358"/>
      <c r="AD86" s="468">
        <f>#REF!</f>
        <v>44805</v>
      </c>
      <c r="AE86" s="47">
        <v>0</v>
      </c>
      <c r="AF86" s="40"/>
      <c r="AG86" s="469">
        <f>IF(Table5[[#This Row],[Gas usage (ccf or therms)]]=0,0,29.31*Table5[[#This Row],[Gas usage (ccf or therms)]])</f>
        <v>0</v>
      </c>
    </row>
    <row r="87" spans="2:33" ht="20.15" customHeight="1">
      <c r="B87" s="459">
        <f t="shared" si="2"/>
        <v>44835</v>
      </c>
      <c r="C87" s="39"/>
      <c r="D87" s="40"/>
      <c r="E87" s="404"/>
      <c r="F87" s="45"/>
      <c r="G87" s="41"/>
      <c r="H87" s="42"/>
      <c r="I87" s="43"/>
      <c r="J87" s="398"/>
      <c r="K87" s="398"/>
      <c r="L87" s="41"/>
      <c r="M87" s="42"/>
      <c r="N87" s="43"/>
      <c r="O87" s="398"/>
      <c r="P87" s="398"/>
      <c r="Q87" s="41"/>
      <c r="R87" s="42"/>
      <c r="S87" s="39"/>
      <c r="T87" s="39"/>
      <c r="U87" s="401"/>
      <c r="V87" s="41"/>
      <c r="W87" s="42"/>
      <c r="X87" s="39"/>
      <c r="Y87" s="39"/>
      <c r="Z87" s="401"/>
      <c r="AA87" s="358"/>
      <c r="AD87" s="468">
        <f>#REF!</f>
        <v>44835</v>
      </c>
      <c r="AE87" s="47">
        <v>0</v>
      </c>
      <c r="AF87" s="40"/>
      <c r="AG87" s="469">
        <f>IF(Table5[[#This Row],[Gas usage (ccf or therms)]]=0,0,29.31*Table5[[#This Row],[Gas usage (ccf or therms)]])</f>
        <v>0</v>
      </c>
    </row>
    <row r="88" spans="2:33" ht="20.15" customHeight="1">
      <c r="B88" s="459">
        <f t="shared" si="2"/>
        <v>44866</v>
      </c>
      <c r="C88" s="39"/>
      <c r="D88" s="40"/>
      <c r="E88" s="404"/>
      <c r="F88" s="45"/>
      <c r="G88" s="41"/>
      <c r="H88" s="42"/>
      <c r="I88" s="43"/>
      <c r="J88" s="398"/>
      <c r="K88" s="398"/>
      <c r="L88" s="41"/>
      <c r="M88" s="42"/>
      <c r="N88" s="43"/>
      <c r="O88" s="398"/>
      <c r="P88" s="398"/>
      <c r="Q88" s="41"/>
      <c r="R88" s="42"/>
      <c r="S88" s="39"/>
      <c r="T88" s="39"/>
      <c r="U88" s="401"/>
      <c r="V88" s="41"/>
      <c r="W88" s="42"/>
      <c r="X88" s="39"/>
      <c r="Y88" s="39"/>
      <c r="Z88" s="401"/>
      <c r="AA88" s="358"/>
      <c r="AD88" s="468">
        <f>#REF!</f>
        <v>44866</v>
      </c>
      <c r="AE88" s="47">
        <v>0</v>
      </c>
      <c r="AF88" s="40"/>
      <c r="AG88" s="469">
        <f>IF(Table5[[#This Row],[Gas usage (ccf or therms)]]=0,0,29.31*Table5[[#This Row],[Gas usage (ccf or therms)]])</f>
        <v>0</v>
      </c>
    </row>
    <row r="89" spans="2:33" ht="20.15" customHeight="1">
      <c r="B89" s="459">
        <f t="shared" si="2"/>
        <v>44896</v>
      </c>
      <c r="C89" s="39"/>
      <c r="D89" s="40"/>
      <c r="E89" s="404"/>
      <c r="F89" s="45"/>
      <c r="G89" s="41"/>
      <c r="H89" s="42"/>
      <c r="I89" s="43"/>
      <c r="J89" s="398"/>
      <c r="K89" s="398"/>
      <c r="L89" s="41"/>
      <c r="M89" s="42"/>
      <c r="N89" s="43"/>
      <c r="O89" s="398"/>
      <c r="P89" s="398"/>
      <c r="Q89" s="41"/>
      <c r="R89" s="42"/>
      <c r="S89" s="39"/>
      <c r="T89" s="39"/>
      <c r="U89" s="401"/>
      <c r="V89" s="41"/>
      <c r="W89" s="42"/>
      <c r="X89" s="39"/>
      <c r="Y89" s="39"/>
      <c r="Z89" s="401"/>
      <c r="AA89" s="358"/>
      <c r="AD89" s="468">
        <f>#REF!</f>
        <v>44896</v>
      </c>
      <c r="AE89" s="47">
        <v>0</v>
      </c>
      <c r="AF89" s="40"/>
      <c r="AG89" s="469">
        <f>IF(Table5[[#This Row],[Gas usage (ccf or therms)]]=0,0,29.31*Table5[[#This Row],[Gas usage (ccf or therms)]])</f>
        <v>0</v>
      </c>
    </row>
    <row r="90" spans="2:33" ht="20.15" customHeight="1">
      <c r="B90" s="459">
        <f t="shared" si="2"/>
        <v>44927</v>
      </c>
      <c r="C90" s="39"/>
      <c r="D90" s="40"/>
      <c r="E90" s="404"/>
      <c r="F90" s="45"/>
      <c r="G90" s="41"/>
      <c r="H90" s="42"/>
      <c r="I90" s="43"/>
      <c r="J90" s="398"/>
      <c r="K90" s="398"/>
      <c r="L90" s="41"/>
      <c r="M90" s="42"/>
      <c r="N90" s="43"/>
      <c r="O90" s="398"/>
      <c r="P90" s="398"/>
      <c r="Q90" s="41"/>
      <c r="R90" s="42"/>
      <c r="S90" s="39"/>
      <c r="T90" s="39"/>
      <c r="U90" s="401"/>
      <c r="V90" s="41"/>
      <c r="W90" s="42"/>
      <c r="X90" s="39"/>
      <c r="Y90" s="39"/>
      <c r="Z90" s="401"/>
      <c r="AA90" s="358"/>
      <c r="AD90" s="468">
        <f>#REF!</f>
        <v>44927</v>
      </c>
      <c r="AE90" s="47">
        <v>0</v>
      </c>
      <c r="AF90" s="40"/>
      <c r="AG90" s="469">
        <f>IF(Table5[[#This Row],[Gas usage (ccf or therms)]]=0,0,29.31*Table5[[#This Row],[Gas usage (ccf or therms)]])</f>
        <v>0</v>
      </c>
    </row>
    <row r="91" spans="2:33" ht="20.15" customHeight="1">
      <c r="B91" s="459">
        <f t="shared" si="2"/>
        <v>44958</v>
      </c>
      <c r="C91" s="39"/>
      <c r="D91" s="40"/>
      <c r="E91" s="404"/>
      <c r="F91" s="45"/>
      <c r="G91" s="41"/>
      <c r="H91" s="42"/>
      <c r="I91" s="43"/>
      <c r="J91" s="398"/>
      <c r="K91" s="398"/>
      <c r="L91" s="41"/>
      <c r="M91" s="42"/>
      <c r="N91" s="43"/>
      <c r="O91" s="398"/>
      <c r="P91" s="398"/>
      <c r="Q91" s="41"/>
      <c r="R91" s="42"/>
      <c r="S91" s="39"/>
      <c r="T91" s="39"/>
      <c r="U91" s="401"/>
      <c r="V91" s="41"/>
      <c r="W91" s="42"/>
      <c r="X91" s="39"/>
      <c r="Y91" s="39"/>
      <c r="Z91" s="401"/>
      <c r="AA91" s="358"/>
      <c r="AD91" s="468">
        <f>#REF!</f>
        <v>44958</v>
      </c>
      <c r="AE91" s="47">
        <v>0</v>
      </c>
      <c r="AF91" s="40"/>
      <c r="AG91" s="469">
        <f>IF(Table5[[#This Row],[Gas usage (ccf or therms)]]=0,0,29.31*Table5[[#This Row],[Gas usage (ccf or therms)]])</f>
        <v>0</v>
      </c>
    </row>
    <row r="92" spans="2:33" ht="20.15" customHeight="1">
      <c r="B92" s="459">
        <f t="shared" si="2"/>
        <v>44986</v>
      </c>
      <c r="C92" s="39"/>
      <c r="D92" s="40"/>
      <c r="E92" s="404"/>
      <c r="F92" s="45"/>
      <c r="G92" s="41"/>
      <c r="H92" s="42"/>
      <c r="I92" s="43"/>
      <c r="J92" s="398"/>
      <c r="K92" s="398"/>
      <c r="L92" s="41"/>
      <c r="M92" s="42"/>
      <c r="N92" s="43"/>
      <c r="O92" s="398"/>
      <c r="P92" s="398"/>
      <c r="Q92" s="41"/>
      <c r="R92" s="42"/>
      <c r="S92" s="39"/>
      <c r="T92" s="39"/>
      <c r="U92" s="401"/>
      <c r="V92" s="41"/>
      <c r="W92" s="42"/>
      <c r="X92" s="39"/>
      <c r="Y92" s="39"/>
      <c r="Z92" s="401"/>
      <c r="AA92" s="358"/>
      <c r="AD92" s="468">
        <f>#REF!</f>
        <v>44986</v>
      </c>
      <c r="AE92" s="47">
        <v>0</v>
      </c>
      <c r="AF92" s="40"/>
      <c r="AG92" s="469">
        <f>IF(Table5[[#This Row],[Gas usage (ccf or therms)]]=0,0,29.31*Table5[[#This Row],[Gas usage (ccf or therms)]])</f>
        <v>0</v>
      </c>
    </row>
    <row r="93" spans="2:33" ht="20.15" customHeight="1">
      <c r="B93" s="459">
        <f t="shared" si="2"/>
        <v>45017</v>
      </c>
      <c r="C93" s="39"/>
      <c r="D93" s="40"/>
      <c r="E93" s="404"/>
      <c r="F93" s="45"/>
      <c r="G93" s="41"/>
      <c r="H93" s="42"/>
      <c r="I93" s="43"/>
      <c r="J93" s="398"/>
      <c r="K93" s="398"/>
      <c r="L93" s="41"/>
      <c r="M93" s="42"/>
      <c r="N93" s="43"/>
      <c r="O93" s="398"/>
      <c r="P93" s="398"/>
      <c r="Q93" s="41"/>
      <c r="R93" s="42"/>
      <c r="S93" s="39"/>
      <c r="T93" s="39"/>
      <c r="U93" s="401"/>
      <c r="V93" s="41"/>
      <c r="W93" s="42"/>
      <c r="X93" s="39"/>
      <c r="Y93" s="39"/>
      <c r="Z93" s="401"/>
      <c r="AA93" s="358"/>
      <c r="AD93" s="468">
        <f>#REF!</f>
        <v>45017</v>
      </c>
      <c r="AE93" s="47">
        <v>0</v>
      </c>
      <c r="AF93" s="40"/>
      <c r="AG93" s="469">
        <f>IF(Table5[[#This Row],[Gas usage (ccf or therms)]]=0,0,29.31*Table5[[#This Row],[Gas usage (ccf or therms)]])</f>
        <v>0</v>
      </c>
    </row>
    <row r="94" spans="2:33" ht="20.15" customHeight="1">
      <c r="B94" s="459">
        <f t="shared" si="2"/>
        <v>45047</v>
      </c>
      <c r="C94" s="39"/>
      <c r="D94" s="40"/>
      <c r="E94" s="404"/>
      <c r="F94" s="45"/>
      <c r="G94" s="41"/>
      <c r="H94" s="42"/>
      <c r="I94" s="43"/>
      <c r="J94" s="398"/>
      <c r="K94" s="398"/>
      <c r="L94" s="41"/>
      <c r="M94" s="42"/>
      <c r="N94" s="43"/>
      <c r="O94" s="398"/>
      <c r="P94" s="398"/>
      <c r="Q94" s="41"/>
      <c r="R94" s="42"/>
      <c r="S94" s="39"/>
      <c r="T94" s="39"/>
      <c r="U94" s="401"/>
      <c r="V94" s="41"/>
      <c r="W94" s="42"/>
      <c r="X94" s="39"/>
      <c r="Y94" s="39"/>
      <c r="Z94" s="401"/>
      <c r="AA94" s="358"/>
      <c r="AD94" s="468">
        <f>#REF!</f>
        <v>45047</v>
      </c>
      <c r="AE94" s="47">
        <v>0</v>
      </c>
      <c r="AF94" s="40"/>
      <c r="AG94" s="469">
        <f>IF(Table5[[#This Row],[Gas usage (ccf or therms)]]=0,0,29.31*Table5[[#This Row],[Gas usage (ccf or therms)]])</f>
        <v>0</v>
      </c>
    </row>
    <row r="95" spans="2:33" ht="20.15" customHeight="1">
      <c r="B95" s="459">
        <f t="shared" si="2"/>
        <v>45078</v>
      </c>
      <c r="C95" s="39"/>
      <c r="D95" s="40"/>
      <c r="E95" s="404"/>
      <c r="F95" s="45"/>
      <c r="G95" s="41"/>
      <c r="H95" s="42"/>
      <c r="I95" s="43"/>
      <c r="J95" s="398"/>
      <c r="K95" s="398"/>
      <c r="L95" s="41"/>
      <c r="M95" s="42"/>
      <c r="N95" s="43"/>
      <c r="O95" s="398"/>
      <c r="P95" s="398"/>
      <c r="Q95" s="41"/>
      <c r="R95" s="42"/>
      <c r="S95" s="39"/>
      <c r="T95" s="39"/>
      <c r="U95" s="401"/>
      <c r="V95" s="41"/>
      <c r="W95" s="42"/>
      <c r="X95" s="39"/>
      <c r="Y95" s="39"/>
      <c r="Z95" s="401"/>
      <c r="AA95" s="358"/>
      <c r="AD95" s="468">
        <f>#REF!</f>
        <v>45078</v>
      </c>
      <c r="AE95" s="47">
        <v>0</v>
      </c>
      <c r="AF95" s="40"/>
      <c r="AG95" s="469">
        <f>IF(Table5[[#This Row],[Gas usage (ccf or therms)]]=0,0,29.31*Table5[[#This Row],[Gas usage (ccf or therms)]])</f>
        <v>0</v>
      </c>
    </row>
    <row r="96" spans="2:33" ht="20.15" customHeight="1" thickBot="1">
      <c r="B96" s="460">
        <f t="shared" si="2"/>
        <v>45108</v>
      </c>
      <c r="C96" s="275"/>
      <c r="D96" s="269"/>
      <c r="E96" s="405"/>
      <c r="F96" s="268"/>
      <c r="G96" s="270"/>
      <c r="H96" s="271"/>
      <c r="I96" s="272"/>
      <c r="J96" s="399"/>
      <c r="K96" s="399"/>
      <c r="L96" s="270"/>
      <c r="M96" s="271"/>
      <c r="N96" s="272"/>
      <c r="O96" s="399"/>
      <c r="P96" s="399"/>
      <c r="Q96" s="270"/>
      <c r="R96" s="271"/>
      <c r="S96" s="275"/>
      <c r="T96" s="275"/>
      <c r="U96" s="402"/>
      <c r="V96" s="270"/>
      <c r="W96" s="271"/>
      <c r="X96" s="275"/>
      <c r="Y96" s="275"/>
      <c r="Z96" s="402"/>
      <c r="AA96" s="359"/>
      <c r="AD96" s="470">
        <f>#REF!</f>
        <v>45108</v>
      </c>
      <c r="AE96" s="471">
        <v>0</v>
      </c>
      <c r="AF96" s="269"/>
      <c r="AG96" s="472">
        <f>IF(Table5[[#This Row],[Gas usage (ccf or therms)]]=0,0,29.31*Table5[[#This Row],[Gas usage (ccf or therms)]])</f>
        <v>0</v>
      </c>
    </row>
    <row r="97" spans="2:33" ht="20.15" customHeight="1">
      <c r="B97" s="458">
        <f t="shared" si="2"/>
        <v>45139</v>
      </c>
      <c r="C97" s="274"/>
      <c r="D97" s="64"/>
      <c r="E97" s="406"/>
      <c r="F97" s="263"/>
      <c r="G97" s="264"/>
      <c r="H97" s="265"/>
      <c r="I97" s="266"/>
      <c r="J97" s="400"/>
      <c r="K97" s="400"/>
      <c r="L97" s="264"/>
      <c r="M97" s="265"/>
      <c r="N97" s="266"/>
      <c r="O97" s="400"/>
      <c r="P97" s="400"/>
      <c r="Q97" s="264"/>
      <c r="R97" s="265"/>
      <c r="S97" s="274"/>
      <c r="T97" s="274"/>
      <c r="U97" s="403"/>
      <c r="V97" s="264"/>
      <c r="W97" s="265"/>
      <c r="X97" s="274"/>
      <c r="Y97" s="274"/>
      <c r="Z97" s="403"/>
      <c r="AA97" s="360"/>
      <c r="AD97" s="464">
        <f>#REF!</f>
        <v>45139</v>
      </c>
      <c r="AE97" s="465">
        <v>0</v>
      </c>
      <c r="AF97" s="466"/>
      <c r="AG97" s="467">
        <f>IF(Table5[[#This Row],[Gas usage (ccf or therms)]]=0,0,29.31*Table5[[#This Row],[Gas usage (ccf or therms)]])</f>
        <v>0</v>
      </c>
    </row>
    <row r="98" spans="2:33" ht="20.15" customHeight="1">
      <c r="B98" s="459">
        <f t="shared" si="2"/>
        <v>45170</v>
      </c>
      <c r="C98" s="39"/>
      <c r="D98" s="40"/>
      <c r="E98" s="404"/>
      <c r="F98" s="45"/>
      <c r="G98" s="41"/>
      <c r="H98" s="42"/>
      <c r="I98" s="43"/>
      <c r="J98" s="398"/>
      <c r="K98" s="398"/>
      <c r="L98" s="41"/>
      <c r="M98" s="42"/>
      <c r="N98" s="43"/>
      <c r="O98" s="398"/>
      <c r="P98" s="398"/>
      <c r="Q98" s="41"/>
      <c r="R98" s="42"/>
      <c r="S98" s="39"/>
      <c r="T98" s="39"/>
      <c r="U98" s="401"/>
      <c r="V98" s="41"/>
      <c r="W98" s="42"/>
      <c r="X98" s="39"/>
      <c r="Y98" s="39"/>
      <c r="Z98" s="401"/>
      <c r="AA98" s="358"/>
      <c r="AD98" s="468">
        <f>#REF!</f>
        <v>45170</v>
      </c>
      <c r="AE98" s="47">
        <v>0</v>
      </c>
      <c r="AF98" s="40"/>
      <c r="AG98" s="469">
        <f>IF(Table5[[#This Row],[Gas usage (ccf or therms)]]=0,0,29.31*Table5[[#This Row],[Gas usage (ccf or therms)]])</f>
        <v>0</v>
      </c>
    </row>
    <row r="99" spans="2:33" ht="20.15" customHeight="1">
      <c r="B99" s="459">
        <f t="shared" si="2"/>
        <v>45200</v>
      </c>
      <c r="C99" s="274"/>
      <c r="D99" s="40"/>
      <c r="E99" s="404"/>
      <c r="F99" s="45"/>
      <c r="G99" s="41"/>
      <c r="H99" s="42"/>
      <c r="I99" s="43"/>
      <c r="J99" s="398"/>
      <c r="K99" s="398"/>
      <c r="L99" s="41"/>
      <c r="M99" s="42"/>
      <c r="N99" s="43"/>
      <c r="O99" s="398"/>
      <c r="P99" s="398"/>
      <c r="Q99" s="41"/>
      <c r="R99" s="42"/>
      <c r="S99" s="39"/>
      <c r="T99" s="39"/>
      <c r="U99" s="401"/>
      <c r="V99" s="41"/>
      <c r="W99" s="42"/>
      <c r="X99" s="39"/>
      <c r="Y99" s="39"/>
      <c r="Z99" s="401"/>
      <c r="AA99" s="358"/>
      <c r="AD99" s="468">
        <f>#REF!</f>
        <v>45200</v>
      </c>
      <c r="AE99" s="47">
        <v>0</v>
      </c>
      <c r="AF99" s="40"/>
      <c r="AG99" s="469">
        <f>IF(Table5[[#This Row],[Gas usage (ccf or therms)]]=0,0,29.31*Table5[[#This Row],[Gas usage (ccf or therms)]])</f>
        <v>0</v>
      </c>
    </row>
    <row r="100" spans="2:33" ht="20.15" customHeight="1">
      <c r="B100" s="459">
        <f t="shared" si="2"/>
        <v>45231</v>
      </c>
      <c r="C100" s="39"/>
      <c r="D100" s="40"/>
      <c r="E100" s="404"/>
      <c r="F100" s="45"/>
      <c r="G100" s="41"/>
      <c r="H100" s="42"/>
      <c r="I100" s="43"/>
      <c r="J100" s="398"/>
      <c r="K100" s="398"/>
      <c r="L100" s="41"/>
      <c r="M100" s="42"/>
      <c r="N100" s="43"/>
      <c r="O100" s="398"/>
      <c r="P100" s="398"/>
      <c r="Q100" s="41"/>
      <c r="R100" s="42"/>
      <c r="S100" s="39"/>
      <c r="T100" s="39"/>
      <c r="U100" s="401"/>
      <c r="V100" s="41"/>
      <c r="W100" s="42"/>
      <c r="X100" s="39"/>
      <c r="Y100" s="39"/>
      <c r="Z100" s="401"/>
      <c r="AA100" s="358"/>
      <c r="AD100" s="468">
        <f>#REF!</f>
        <v>45231</v>
      </c>
      <c r="AE100" s="47">
        <v>0</v>
      </c>
      <c r="AF100" s="40"/>
      <c r="AG100" s="469">
        <f>IF(Table5[[#This Row],[Gas usage (ccf or therms)]]=0,0,29.31*Table5[[#This Row],[Gas usage (ccf or therms)]])</f>
        <v>0</v>
      </c>
    </row>
    <row r="101" spans="2:33" ht="20.15" customHeight="1">
      <c r="B101" s="459">
        <f t="shared" si="2"/>
        <v>45261</v>
      </c>
      <c r="C101" s="39"/>
      <c r="D101" s="40"/>
      <c r="E101" s="404"/>
      <c r="F101" s="45"/>
      <c r="G101" s="41"/>
      <c r="H101" s="42"/>
      <c r="I101" s="43"/>
      <c r="J101" s="398"/>
      <c r="K101" s="398"/>
      <c r="L101" s="41"/>
      <c r="M101" s="42"/>
      <c r="N101" s="43"/>
      <c r="O101" s="398"/>
      <c r="P101" s="398"/>
      <c r="Q101" s="41"/>
      <c r="R101" s="42"/>
      <c r="S101" s="39"/>
      <c r="T101" s="39"/>
      <c r="U101" s="401"/>
      <c r="V101" s="41"/>
      <c r="W101" s="42"/>
      <c r="X101" s="39"/>
      <c r="Y101" s="39"/>
      <c r="Z101" s="401"/>
      <c r="AA101" s="358"/>
      <c r="AD101" s="468">
        <f>#REF!</f>
        <v>45261</v>
      </c>
      <c r="AE101" s="47">
        <v>0</v>
      </c>
      <c r="AF101" s="40"/>
      <c r="AG101" s="469">
        <f>IF(Table5[[#This Row],[Gas usage (ccf or therms)]]=0,0,29.31*Table5[[#This Row],[Gas usage (ccf or therms)]])</f>
        <v>0</v>
      </c>
    </row>
    <row r="102" spans="2:33" ht="20.15" customHeight="1">
      <c r="B102" s="459">
        <f t="shared" si="2"/>
        <v>45292</v>
      </c>
      <c r="C102" s="39"/>
      <c r="D102" s="40"/>
      <c r="E102" s="404"/>
      <c r="F102" s="45"/>
      <c r="G102" s="41"/>
      <c r="H102" s="42"/>
      <c r="I102" s="43"/>
      <c r="J102" s="398"/>
      <c r="K102" s="398"/>
      <c r="L102" s="41"/>
      <c r="M102" s="42"/>
      <c r="N102" s="43"/>
      <c r="O102" s="398"/>
      <c r="P102" s="398"/>
      <c r="Q102" s="41"/>
      <c r="R102" s="42"/>
      <c r="S102" s="39"/>
      <c r="T102" s="39"/>
      <c r="U102" s="401"/>
      <c r="V102" s="41"/>
      <c r="W102" s="42"/>
      <c r="X102" s="39"/>
      <c r="Y102" s="39"/>
      <c r="Z102" s="401"/>
      <c r="AA102" s="358"/>
      <c r="AD102" s="468">
        <f>#REF!</f>
        <v>45292</v>
      </c>
      <c r="AE102" s="47">
        <v>0</v>
      </c>
      <c r="AF102" s="40"/>
      <c r="AG102" s="469">
        <f>IF(Table5[[#This Row],[Gas usage (ccf or therms)]]=0,0,29.31*Table5[[#This Row],[Gas usage (ccf or therms)]])</f>
        <v>0</v>
      </c>
    </row>
    <row r="103" spans="2:33" ht="20.15" customHeight="1">
      <c r="B103" s="459">
        <f t="shared" si="2"/>
        <v>45323</v>
      </c>
      <c r="C103" s="39"/>
      <c r="D103" s="40"/>
      <c r="E103" s="404"/>
      <c r="F103" s="45"/>
      <c r="G103" s="41"/>
      <c r="H103" s="42"/>
      <c r="I103" s="43"/>
      <c r="J103" s="398"/>
      <c r="K103" s="398"/>
      <c r="L103" s="41"/>
      <c r="M103" s="42"/>
      <c r="N103" s="43"/>
      <c r="O103" s="398"/>
      <c r="P103" s="398"/>
      <c r="Q103" s="41"/>
      <c r="R103" s="42"/>
      <c r="S103" s="39"/>
      <c r="T103" s="39"/>
      <c r="U103" s="401"/>
      <c r="V103" s="41"/>
      <c r="W103" s="42"/>
      <c r="X103" s="39"/>
      <c r="Y103" s="39"/>
      <c r="Z103" s="401"/>
      <c r="AA103" s="358"/>
      <c r="AD103" s="468">
        <f>#REF!</f>
        <v>45323</v>
      </c>
      <c r="AE103" s="47">
        <v>0</v>
      </c>
      <c r="AF103" s="40"/>
      <c r="AG103" s="469">
        <f>IF(Table5[[#This Row],[Gas usage (ccf or therms)]]=0,0,29.31*Table5[[#This Row],[Gas usage (ccf or therms)]])</f>
        <v>0</v>
      </c>
    </row>
    <row r="104" spans="2:33" ht="20.15" customHeight="1">
      <c r="B104" s="459">
        <f t="shared" si="2"/>
        <v>45352</v>
      </c>
      <c r="C104" s="39"/>
      <c r="D104" s="40"/>
      <c r="E104" s="404"/>
      <c r="F104" s="45"/>
      <c r="G104" s="41"/>
      <c r="H104" s="42"/>
      <c r="I104" s="43"/>
      <c r="J104" s="398"/>
      <c r="K104" s="398"/>
      <c r="L104" s="41"/>
      <c r="M104" s="42"/>
      <c r="N104" s="43"/>
      <c r="O104" s="398"/>
      <c r="P104" s="398"/>
      <c r="Q104" s="41"/>
      <c r="R104" s="42"/>
      <c r="S104" s="39"/>
      <c r="T104" s="39"/>
      <c r="U104" s="401"/>
      <c r="V104" s="41"/>
      <c r="W104" s="42"/>
      <c r="X104" s="39"/>
      <c r="Y104" s="39"/>
      <c r="Z104" s="401"/>
      <c r="AA104" s="358"/>
      <c r="AD104" s="468">
        <f>#REF!</f>
        <v>45352</v>
      </c>
      <c r="AE104" s="47">
        <v>0</v>
      </c>
      <c r="AF104" s="40"/>
      <c r="AG104" s="469">
        <f>IF(Table5[[#This Row],[Gas usage (ccf or therms)]]=0,0,29.31*Table5[[#This Row],[Gas usage (ccf or therms)]])</f>
        <v>0</v>
      </c>
    </row>
    <row r="105" spans="2:33" ht="20.15" customHeight="1">
      <c r="B105" s="459">
        <f t="shared" si="2"/>
        <v>45383</v>
      </c>
      <c r="C105" s="39"/>
      <c r="D105" s="40"/>
      <c r="E105" s="404"/>
      <c r="F105" s="45"/>
      <c r="G105" s="41"/>
      <c r="H105" s="42"/>
      <c r="I105" s="43"/>
      <c r="J105" s="398"/>
      <c r="K105" s="398"/>
      <c r="L105" s="41"/>
      <c r="M105" s="42"/>
      <c r="N105" s="43"/>
      <c r="O105" s="398"/>
      <c r="P105" s="398"/>
      <c r="Q105" s="41"/>
      <c r="R105" s="42"/>
      <c r="S105" s="39"/>
      <c r="T105" s="39"/>
      <c r="U105" s="401"/>
      <c r="V105" s="41"/>
      <c r="W105" s="42"/>
      <c r="X105" s="39"/>
      <c r="Y105" s="39"/>
      <c r="Z105" s="401"/>
      <c r="AA105" s="358"/>
      <c r="AD105" s="468">
        <f>#REF!</f>
        <v>45383</v>
      </c>
      <c r="AE105" s="47">
        <v>0</v>
      </c>
      <c r="AF105" s="40"/>
      <c r="AG105" s="469">
        <f>IF(Table5[[#This Row],[Gas usage (ccf or therms)]]=0,0,29.31*Table5[[#This Row],[Gas usage (ccf or therms)]])</f>
        <v>0</v>
      </c>
    </row>
    <row r="106" spans="2:33" ht="20.15" customHeight="1">
      <c r="B106" s="459">
        <f t="shared" si="2"/>
        <v>45413</v>
      </c>
      <c r="C106" s="39"/>
      <c r="D106" s="40"/>
      <c r="E106" s="404"/>
      <c r="F106" s="45"/>
      <c r="G106" s="41"/>
      <c r="H106" s="42"/>
      <c r="I106" s="43"/>
      <c r="J106" s="398"/>
      <c r="K106" s="398"/>
      <c r="L106" s="41"/>
      <c r="M106" s="42"/>
      <c r="N106" s="43"/>
      <c r="O106" s="398"/>
      <c r="P106" s="398"/>
      <c r="Q106" s="41"/>
      <c r="R106" s="42"/>
      <c r="S106" s="39"/>
      <c r="T106" s="39"/>
      <c r="U106" s="401"/>
      <c r="V106" s="41"/>
      <c r="W106" s="42"/>
      <c r="X106" s="39"/>
      <c r="Y106" s="39"/>
      <c r="Z106" s="401"/>
      <c r="AA106" s="358"/>
      <c r="AD106" s="468">
        <f>#REF!</f>
        <v>45413</v>
      </c>
      <c r="AE106" s="61">
        <v>0</v>
      </c>
      <c r="AF106" s="40"/>
      <c r="AG106" s="469">
        <f>IF(Table5[[#This Row],[Gas usage (ccf or therms)]]=0,0,29.31*Table5[[#This Row],[Gas usage (ccf or therms)]])</f>
        <v>0</v>
      </c>
    </row>
    <row r="107" spans="2:33" ht="20.15" customHeight="1">
      <c r="B107" s="459">
        <f t="shared" si="2"/>
        <v>45444</v>
      </c>
      <c r="C107" s="39"/>
      <c r="D107" s="40"/>
      <c r="E107" s="407"/>
      <c r="F107" s="45"/>
      <c r="G107" s="41"/>
      <c r="H107" s="42"/>
      <c r="I107" s="43"/>
      <c r="J107" s="398"/>
      <c r="K107" s="398"/>
      <c r="L107" s="41"/>
      <c r="M107" s="42"/>
      <c r="N107" s="43"/>
      <c r="O107" s="398"/>
      <c r="P107" s="398"/>
      <c r="Q107" s="41"/>
      <c r="R107" s="42"/>
      <c r="S107" s="39"/>
      <c r="T107" s="39"/>
      <c r="U107" s="401"/>
      <c r="V107" s="41"/>
      <c r="W107" s="42"/>
      <c r="X107" s="39"/>
      <c r="Y107" s="39"/>
      <c r="Z107" s="401"/>
      <c r="AA107" s="358"/>
      <c r="AD107" s="468">
        <f>#REF!</f>
        <v>45444</v>
      </c>
      <c r="AE107" s="61">
        <v>0</v>
      </c>
      <c r="AF107" s="40"/>
      <c r="AG107" s="469">
        <f>IF(Table5[[#This Row],[Gas usage (ccf or therms)]]=0,0,29.31*Table5[[#This Row],[Gas usage (ccf or therms)]])</f>
        <v>0</v>
      </c>
    </row>
    <row r="108" spans="2:33" ht="20.15" customHeight="1" thickBot="1">
      <c r="B108" s="460">
        <f t="shared" si="2"/>
        <v>45474</v>
      </c>
      <c r="C108" s="39"/>
      <c r="D108" s="40"/>
      <c r="E108" s="407"/>
      <c r="F108" s="45"/>
      <c r="G108" s="41"/>
      <c r="H108" s="42"/>
      <c r="I108" s="43"/>
      <c r="J108" s="398"/>
      <c r="K108" s="398"/>
      <c r="L108" s="41"/>
      <c r="M108" s="42"/>
      <c r="N108" s="43"/>
      <c r="O108" s="398"/>
      <c r="P108" s="398"/>
      <c r="Q108" s="41"/>
      <c r="R108" s="42"/>
      <c r="S108" s="39"/>
      <c r="T108" s="39"/>
      <c r="U108" s="401"/>
      <c r="V108" s="41"/>
      <c r="W108" s="42"/>
      <c r="X108" s="39"/>
      <c r="Y108" s="39"/>
      <c r="Z108" s="401"/>
      <c r="AA108" s="358"/>
      <c r="AD108" s="470">
        <f>#REF!</f>
        <v>45474</v>
      </c>
      <c r="AE108" s="471">
        <v>0</v>
      </c>
      <c r="AF108" s="269"/>
      <c r="AG108" s="472">
        <f>IF(Table5[[#This Row],[Gas usage (ccf or therms)]]=0,0,29.31*Table5[[#This Row],[Gas usage (ccf or therms)]])</f>
        <v>0</v>
      </c>
    </row>
    <row r="109" ht="15">
      <c r="E109" s="50"/>
    </row>
  </sheetData>
  <sheetProtection formatCells="0" formatColumns="0" formatRows="0" sort="0" autoFilter="0"/>
  <mergeCells count="24">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 ref="B1:H3"/>
    <mergeCell ref="D23:G23"/>
    <mergeCell ref="B11:C11"/>
    <mergeCell ref="E11:F11"/>
    <mergeCell ref="B12:C12"/>
    <mergeCell ref="D12:F12"/>
    <mergeCell ref="B13:C13"/>
    <mergeCell ref="D13:F13"/>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6" r:id="rId1" name="CommandButton4"/>
    <control shapeId="3075" r:id="rId2" name="CommandButton3"/>
    <control shapeId="3074" r:id="rId3" name="CommandButton2"/>
    <control shapeId="3073" r:id="rId12" name="CommandButton1"/>
  </controls>
  <tableParts>
    <tablePart r:id="rId15"/>
    <tablePart r:id="rId1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9" activePane="bottomLeft" state="frozen"/>
      <selection pane="bottomLeft" activeCell="A89" sqref="A89"/>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7" t="s">
        <v>14</v>
      </c>
      <c r="C5" s="426" t="s">
        <v>34</v>
      </c>
      <c r="D5" s="427" t="s">
        <v>42</v>
      </c>
      <c r="E5" s="427" t="s">
        <v>195</v>
      </c>
      <c r="F5" s="427" t="s">
        <v>43</v>
      </c>
      <c r="G5" s="427" t="s">
        <v>36</v>
      </c>
      <c r="H5" s="427" t="s">
        <v>74</v>
      </c>
      <c r="I5" s="428" t="s">
        <v>37</v>
      </c>
      <c r="J5" s="428" t="s">
        <v>75</v>
      </c>
      <c r="K5" s="428" t="s">
        <v>72</v>
      </c>
      <c r="L5" s="428" t="s">
        <v>38</v>
      </c>
      <c r="M5" s="428" t="s">
        <v>41</v>
      </c>
      <c r="N5" s="429" t="s">
        <v>40</v>
      </c>
    </row>
    <row r="6" spans="2:14" ht="16" thickTop="1">
      <c r="B6" s="348">
        <f>'Energy Data Entry'!B25</f>
        <v>42948</v>
      </c>
      <c r="C6" s="489"/>
      <c r="D6" s="452"/>
      <c r="E6" s="453"/>
      <c r="F6" s="346" t="str">
        <f>IF(C6*(D6-E6)*8.34=0,"",C6*(D6-E6)*8.34)</f>
        <v/>
      </c>
      <c r="G6" s="421"/>
      <c r="H6" s="421"/>
      <c r="I6" s="483"/>
      <c r="J6" s="421"/>
      <c r="K6" s="483"/>
      <c r="L6" s="421"/>
      <c r="M6" s="421"/>
      <c r="N6" s="422"/>
    </row>
    <row r="7" spans="2:14" ht="15.5">
      <c r="B7" s="349">
        <f>'Energy Data Entry'!B26</f>
        <v>42979</v>
      </c>
      <c r="C7" s="490"/>
      <c r="D7" s="454"/>
      <c r="E7" s="454"/>
      <c r="F7" s="315" t="str">
        <f aca="true" t="shared" si="0" ref="F7:F17">IF(C7*(D7-E7)*8.34=0,"",C7*(D7-E7)*8.34)</f>
        <v/>
      </c>
      <c r="G7" s="419"/>
      <c r="H7" s="419"/>
      <c r="I7" s="484"/>
      <c r="J7" s="419"/>
      <c r="K7" s="484"/>
      <c r="L7" s="419"/>
      <c r="M7" s="419"/>
      <c r="N7" s="423"/>
    </row>
    <row r="8" spans="2:14" ht="15.5">
      <c r="B8" s="349">
        <f>'Energy Data Entry'!B27</f>
        <v>43009</v>
      </c>
      <c r="C8" s="490"/>
      <c r="D8" s="454"/>
      <c r="E8" s="454"/>
      <c r="F8" s="315" t="str">
        <f t="shared" si="0"/>
        <v/>
      </c>
      <c r="G8" s="419"/>
      <c r="H8" s="419"/>
      <c r="I8" s="484"/>
      <c r="J8" s="419"/>
      <c r="K8" s="484"/>
      <c r="L8" s="419"/>
      <c r="M8" s="419"/>
      <c r="N8" s="423"/>
    </row>
    <row r="9" spans="2:14" ht="15.5">
      <c r="B9" s="349">
        <f>'Energy Data Entry'!B28</f>
        <v>43040</v>
      </c>
      <c r="C9" s="490"/>
      <c r="D9" s="454"/>
      <c r="E9" s="454"/>
      <c r="F9" s="315" t="str">
        <f t="shared" si="0"/>
        <v/>
      </c>
      <c r="G9" s="419"/>
      <c r="H9" s="419"/>
      <c r="I9" s="484"/>
      <c r="J9" s="419"/>
      <c r="K9" s="484"/>
      <c r="L9" s="419"/>
      <c r="M9" s="419"/>
      <c r="N9" s="423"/>
    </row>
    <row r="10" spans="2:14" ht="15.5">
      <c r="B10" s="349">
        <f>'Energy Data Entry'!B29</f>
        <v>43070</v>
      </c>
      <c r="C10" s="490"/>
      <c r="D10" s="454"/>
      <c r="E10" s="454"/>
      <c r="F10" s="315" t="str">
        <f t="shared" si="0"/>
        <v/>
      </c>
      <c r="G10" s="419"/>
      <c r="H10" s="419"/>
      <c r="I10" s="484"/>
      <c r="J10" s="419"/>
      <c r="K10" s="484"/>
      <c r="L10" s="419"/>
      <c r="M10" s="419"/>
      <c r="N10" s="423"/>
    </row>
    <row r="11" spans="2:14" ht="15.5">
      <c r="B11" s="349">
        <f>'Energy Data Entry'!B30</f>
        <v>43101</v>
      </c>
      <c r="C11" s="490"/>
      <c r="D11" s="454"/>
      <c r="E11" s="454"/>
      <c r="F11" s="315" t="str">
        <f t="shared" si="0"/>
        <v/>
      </c>
      <c r="G11" s="419"/>
      <c r="H11" s="419"/>
      <c r="I11" s="484"/>
      <c r="J11" s="419"/>
      <c r="K11" s="484"/>
      <c r="L11" s="419"/>
      <c r="M11" s="419"/>
      <c r="N11" s="423"/>
    </row>
    <row r="12" spans="2:14" ht="15.5">
      <c r="B12" s="349">
        <f>'Energy Data Entry'!B31</f>
        <v>43132</v>
      </c>
      <c r="C12" s="490"/>
      <c r="D12" s="454"/>
      <c r="E12" s="454"/>
      <c r="F12" s="315" t="str">
        <f t="shared" si="0"/>
        <v/>
      </c>
      <c r="G12" s="419"/>
      <c r="H12" s="419"/>
      <c r="I12" s="484"/>
      <c r="J12" s="419"/>
      <c r="K12" s="484"/>
      <c r="L12" s="419"/>
      <c r="M12" s="419"/>
      <c r="N12" s="423"/>
    </row>
    <row r="13" spans="2:14" ht="15.5">
      <c r="B13" s="349">
        <f>'Energy Data Entry'!B32</f>
        <v>43160</v>
      </c>
      <c r="C13" s="490"/>
      <c r="D13" s="454"/>
      <c r="E13" s="454"/>
      <c r="F13" s="315" t="str">
        <f t="shared" si="0"/>
        <v/>
      </c>
      <c r="G13" s="419"/>
      <c r="H13" s="419"/>
      <c r="I13" s="484"/>
      <c r="J13" s="419"/>
      <c r="K13" s="484"/>
      <c r="L13" s="419"/>
      <c r="M13" s="419"/>
      <c r="N13" s="423"/>
    </row>
    <row r="14" spans="2:14" ht="15.5">
      <c r="B14" s="349">
        <f>'Energy Data Entry'!B33</f>
        <v>43191</v>
      </c>
      <c r="C14" s="490"/>
      <c r="D14" s="454"/>
      <c r="E14" s="454"/>
      <c r="F14" s="315" t="str">
        <f t="shared" si="0"/>
        <v/>
      </c>
      <c r="G14" s="419"/>
      <c r="H14" s="419"/>
      <c r="I14" s="484"/>
      <c r="J14" s="419"/>
      <c r="K14" s="484"/>
      <c r="L14" s="419"/>
      <c r="M14" s="419"/>
      <c r="N14" s="423"/>
    </row>
    <row r="15" spans="2:14" ht="15.5">
      <c r="B15" s="349">
        <f>'Energy Data Entry'!B34</f>
        <v>43221</v>
      </c>
      <c r="C15" s="490"/>
      <c r="D15" s="454"/>
      <c r="E15" s="454"/>
      <c r="F15" s="315" t="str">
        <f t="shared" si="0"/>
        <v/>
      </c>
      <c r="G15" s="419"/>
      <c r="H15" s="419"/>
      <c r="I15" s="484"/>
      <c r="J15" s="419"/>
      <c r="K15" s="484"/>
      <c r="L15" s="419"/>
      <c r="M15" s="419"/>
      <c r="N15" s="423"/>
    </row>
    <row r="16" spans="2:14" ht="15.5">
      <c r="B16" s="349">
        <f>'Energy Data Entry'!B35</f>
        <v>43252</v>
      </c>
      <c r="C16" s="490"/>
      <c r="D16" s="454"/>
      <c r="E16" s="454"/>
      <c r="F16" s="315" t="str">
        <f t="shared" si="0"/>
        <v/>
      </c>
      <c r="G16" s="419"/>
      <c r="H16" s="419"/>
      <c r="I16" s="484"/>
      <c r="J16" s="419"/>
      <c r="K16" s="484"/>
      <c r="L16" s="419"/>
      <c r="M16" s="419"/>
      <c r="N16" s="423"/>
    </row>
    <row r="17" spans="2:14" ht="16" thickBot="1">
      <c r="B17" s="350">
        <f>'Energy Data Entry'!B36</f>
        <v>43282</v>
      </c>
      <c r="C17" s="491"/>
      <c r="D17" s="455"/>
      <c r="E17" s="455"/>
      <c r="F17" s="339" t="str">
        <f t="shared" si="0"/>
        <v/>
      </c>
      <c r="G17" s="420"/>
      <c r="H17" s="420"/>
      <c r="I17" s="485"/>
      <c r="J17" s="420"/>
      <c r="K17" s="485"/>
      <c r="L17" s="420"/>
      <c r="M17" s="420"/>
      <c r="N17" s="424"/>
    </row>
    <row r="18" spans="2:14" ht="15.5">
      <c r="B18" s="351">
        <f>'Energy Data Entry'!B37</f>
        <v>43313</v>
      </c>
      <c r="C18" s="492"/>
      <c r="D18" s="452"/>
      <c r="E18" s="452"/>
      <c r="F18" s="338" t="str">
        <f>IF(C18*(D18-E18)*8.34=0,"",C18*(D18-E18)*8.34)</f>
        <v/>
      </c>
      <c r="G18" s="418"/>
      <c r="H18" s="418"/>
      <c r="I18" s="486"/>
      <c r="J18" s="418"/>
      <c r="K18" s="486"/>
      <c r="L18" s="418"/>
      <c r="M18" s="418"/>
      <c r="N18" s="425"/>
    </row>
    <row r="19" spans="2:14" ht="15.5">
      <c r="B19" s="349">
        <f>'Energy Data Entry'!B38</f>
        <v>43344</v>
      </c>
      <c r="C19" s="443"/>
      <c r="D19" s="454"/>
      <c r="E19" s="454"/>
      <c r="F19" s="164" t="str">
        <f aca="true" t="shared" si="1" ref="F19:F82">IF(C19*(D19-E19)*8.34=0,"",C19*(D19-E19)*8.34)</f>
        <v/>
      </c>
      <c r="G19" s="419"/>
      <c r="H19" s="419"/>
      <c r="I19" s="484"/>
      <c r="J19" s="419"/>
      <c r="K19" s="484"/>
      <c r="L19" s="419"/>
      <c r="M19" s="419"/>
      <c r="N19" s="423"/>
    </row>
    <row r="20" spans="2:14" ht="15.5">
      <c r="B20" s="349">
        <f>'Energy Data Entry'!B39</f>
        <v>43374</v>
      </c>
      <c r="C20" s="443"/>
      <c r="D20" s="454"/>
      <c r="E20" s="454"/>
      <c r="F20" s="164" t="str">
        <f t="shared" si="1"/>
        <v/>
      </c>
      <c r="G20" s="419"/>
      <c r="H20" s="419"/>
      <c r="I20" s="484"/>
      <c r="J20" s="419"/>
      <c r="K20" s="484"/>
      <c r="L20" s="419"/>
      <c r="M20" s="419"/>
      <c r="N20" s="423"/>
    </row>
    <row r="21" spans="2:14" ht="15.5">
      <c r="B21" s="349">
        <f>'Energy Data Entry'!B40</f>
        <v>43405</v>
      </c>
      <c r="C21" s="443"/>
      <c r="D21" s="454"/>
      <c r="E21" s="454"/>
      <c r="F21" s="164" t="str">
        <f t="shared" si="1"/>
        <v/>
      </c>
      <c r="G21" s="419"/>
      <c r="H21" s="419"/>
      <c r="I21" s="484"/>
      <c r="J21" s="419"/>
      <c r="K21" s="484"/>
      <c r="L21" s="419"/>
      <c r="M21" s="419"/>
      <c r="N21" s="423"/>
    </row>
    <row r="22" spans="2:14" ht="15.5">
      <c r="B22" s="349">
        <f>'Energy Data Entry'!B41</f>
        <v>43435</v>
      </c>
      <c r="C22" s="443"/>
      <c r="D22" s="454"/>
      <c r="E22" s="454"/>
      <c r="F22" s="164" t="str">
        <f t="shared" si="1"/>
        <v/>
      </c>
      <c r="G22" s="419"/>
      <c r="H22" s="419"/>
      <c r="I22" s="484"/>
      <c r="J22" s="419"/>
      <c r="K22" s="484"/>
      <c r="L22" s="419"/>
      <c r="M22" s="419"/>
      <c r="N22" s="423"/>
    </row>
    <row r="23" spans="2:14" ht="15.5">
      <c r="B23" s="349">
        <f>'Energy Data Entry'!B42</f>
        <v>43466</v>
      </c>
      <c r="C23" s="443"/>
      <c r="D23" s="454"/>
      <c r="E23" s="454"/>
      <c r="F23" s="164" t="str">
        <f t="shared" si="1"/>
        <v/>
      </c>
      <c r="G23" s="419"/>
      <c r="H23" s="419"/>
      <c r="I23" s="484"/>
      <c r="J23" s="419"/>
      <c r="K23" s="484"/>
      <c r="L23" s="419"/>
      <c r="M23" s="419"/>
      <c r="N23" s="423"/>
    </row>
    <row r="24" spans="2:14" ht="15.5">
      <c r="B24" s="349">
        <f>'Energy Data Entry'!B43</f>
        <v>43497</v>
      </c>
      <c r="C24" s="443"/>
      <c r="D24" s="454"/>
      <c r="E24" s="454"/>
      <c r="F24" s="164" t="str">
        <f t="shared" si="1"/>
        <v/>
      </c>
      <c r="G24" s="419"/>
      <c r="H24" s="419"/>
      <c r="I24" s="484"/>
      <c r="J24" s="419"/>
      <c r="K24" s="484"/>
      <c r="L24" s="419"/>
      <c r="M24" s="419"/>
      <c r="N24" s="423"/>
    </row>
    <row r="25" spans="2:14" ht="15.5">
      <c r="B25" s="349">
        <f>'Energy Data Entry'!B44</f>
        <v>43525</v>
      </c>
      <c r="C25" s="443"/>
      <c r="D25" s="454"/>
      <c r="E25" s="454"/>
      <c r="F25" s="164" t="str">
        <f t="shared" si="1"/>
        <v/>
      </c>
      <c r="G25" s="419"/>
      <c r="H25" s="419"/>
      <c r="I25" s="484"/>
      <c r="J25" s="419"/>
      <c r="K25" s="484"/>
      <c r="L25" s="419"/>
      <c r="M25" s="419"/>
      <c r="N25" s="423"/>
    </row>
    <row r="26" spans="2:14" ht="15.5">
      <c r="B26" s="349">
        <f>'Energy Data Entry'!B45</f>
        <v>43556</v>
      </c>
      <c r="C26" s="443"/>
      <c r="D26" s="454"/>
      <c r="E26" s="454"/>
      <c r="F26" s="164" t="str">
        <f t="shared" si="1"/>
        <v/>
      </c>
      <c r="G26" s="419"/>
      <c r="H26" s="419"/>
      <c r="I26" s="484"/>
      <c r="J26" s="419"/>
      <c r="K26" s="484"/>
      <c r="L26" s="419"/>
      <c r="M26" s="419"/>
      <c r="N26" s="423"/>
    </row>
    <row r="27" spans="2:14" ht="15.5">
      <c r="B27" s="349">
        <f>'Energy Data Entry'!B46</f>
        <v>43586</v>
      </c>
      <c r="C27" s="443"/>
      <c r="D27" s="454"/>
      <c r="E27" s="454"/>
      <c r="F27" s="164" t="str">
        <f t="shared" si="1"/>
        <v/>
      </c>
      <c r="G27" s="419"/>
      <c r="H27" s="419"/>
      <c r="I27" s="484"/>
      <c r="J27" s="419"/>
      <c r="K27" s="484"/>
      <c r="L27" s="419"/>
      <c r="M27" s="419"/>
      <c r="N27" s="423"/>
    </row>
    <row r="28" spans="2:14" ht="15.5">
      <c r="B28" s="349">
        <f>'Energy Data Entry'!B47</f>
        <v>43617</v>
      </c>
      <c r="C28" s="443"/>
      <c r="D28" s="454"/>
      <c r="E28" s="454"/>
      <c r="F28" s="164" t="str">
        <f t="shared" si="1"/>
        <v/>
      </c>
      <c r="G28" s="419"/>
      <c r="H28" s="419"/>
      <c r="I28" s="484"/>
      <c r="J28" s="419"/>
      <c r="K28" s="484"/>
      <c r="L28" s="419"/>
      <c r="M28" s="419"/>
      <c r="N28" s="423"/>
    </row>
    <row r="29" spans="2:14" ht="16" thickBot="1">
      <c r="B29" s="350">
        <f>'Energy Data Entry'!B48</f>
        <v>43647</v>
      </c>
      <c r="C29" s="444"/>
      <c r="D29" s="455"/>
      <c r="E29" s="455"/>
      <c r="F29" s="339" t="str">
        <f t="shared" si="1"/>
        <v/>
      </c>
      <c r="G29" s="420"/>
      <c r="H29" s="420"/>
      <c r="I29" s="485"/>
      <c r="J29" s="420"/>
      <c r="K29" s="485"/>
      <c r="L29" s="420"/>
      <c r="M29" s="420"/>
      <c r="N29" s="424"/>
    </row>
    <row r="30" spans="2:14" ht="15.5">
      <c r="B30" s="352">
        <f>'Energy Data Entry'!B49</f>
        <v>43678</v>
      </c>
      <c r="C30" s="436"/>
      <c r="D30" s="452"/>
      <c r="E30" s="452"/>
      <c r="F30" s="338" t="str">
        <f t="shared" si="1"/>
        <v/>
      </c>
      <c r="G30" s="418"/>
      <c r="H30" s="418"/>
      <c r="I30" s="486"/>
      <c r="J30" s="418"/>
      <c r="K30" s="486"/>
      <c r="L30" s="418"/>
      <c r="M30" s="418"/>
      <c r="N30" s="425"/>
    </row>
    <row r="31" spans="2:14" ht="15.5">
      <c r="B31" s="353">
        <f>'Energy Data Entry'!B50</f>
        <v>43709</v>
      </c>
      <c r="C31" s="437"/>
      <c r="D31" s="454"/>
      <c r="E31" s="454"/>
      <c r="F31" s="164" t="str">
        <f t="shared" si="1"/>
        <v/>
      </c>
      <c r="G31" s="419"/>
      <c r="H31" s="419"/>
      <c r="I31" s="484"/>
      <c r="J31" s="419"/>
      <c r="K31" s="484"/>
      <c r="L31" s="419"/>
      <c r="M31" s="419"/>
      <c r="N31" s="423"/>
    </row>
    <row r="32" spans="2:14" ht="15.5">
      <c r="B32" s="353">
        <f>'Energy Data Entry'!B51</f>
        <v>43739</v>
      </c>
      <c r="C32" s="437"/>
      <c r="D32" s="454"/>
      <c r="E32" s="454"/>
      <c r="F32" s="415" t="str">
        <f t="shared" si="1"/>
        <v/>
      </c>
      <c r="G32" s="419"/>
      <c r="H32" s="419"/>
      <c r="I32" s="484"/>
      <c r="J32" s="419"/>
      <c r="K32" s="484"/>
      <c r="L32" s="419"/>
      <c r="M32" s="419"/>
      <c r="N32" s="423"/>
    </row>
    <row r="33" spans="2:14" ht="15.5">
      <c r="B33" s="353">
        <f>'Energy Data Entry'!B52</f>
        <v>43770</v>
      </c>
      <c r="C33" s="437"/>
      <c r="D33" s="454"/>
      <c r="E33" s="454"/>
      <c r="F33" s="415" t="str">
        <f t="shared" si="1"/>
        <v/>
      </c>
      <c r="G33" s="419"/>
      <c r="H33" s="419"/>
      <c r="I33" s="484"/>
      <c r="J33" s="419"/>
      <c r="K33" s="484"/>
      <c r="L33" s="419"/>
      <c r="M33" s="419"/>
      <c r="N33" s="423"/>
    </row>
    <row r="34" spans="2:14" ht="15.5">
      <c r="B34" s="353">
        <f>'Energy Data Entry'!B53</f>
        <v>43800</v>
      </c>
      <c r="C34" s="437"/>
      <c r="D34" s="454"/>
      <c r="E34" s="454"/>
      <c r="F34" s="415" t="str">
        <f t="shared" si="1"/>
        <v/>
      </c>
      <c r="G34" s="419"/>
      <c r="H34" s="419"/>
      <c r="I34" s="484"/>
      <c r="J34" s="419"/>
      <c r="K34" s="484"/>
      <c r="L34" s="419"/>
      <c r="M34" s="419"/>
      <c r="N34" s="423"/>
    </row>
    <row r="35" spans="2:14" ht="15.5">
      <c r="B35" s="353">
        <f>'Energy Data Entry'!B54</f>
        <v>43831</v>
      </c>
      <c r="C35" s="437"/>
      <c r="D35" s="454"/>
      <c r="E35" s="454"/>
      <c r="F35" s="415" t="str">
        <f t="shared" si="1"/>
        <v/>
      </c>
      <c r="G35" s="419"/>
      <c r="H35" s="419"/>
      <c r="I35" s="484"/>
      <c r="J35" s="419"/>
      <c r="K35" s="484"/>
      <c r="L35" s="419"/>
      <c r="M35" s="419"/>
      <c r="N35" s="423"/>
    </row>
    <row r="36" spans="2:14" ht="15.5">
      <c r="B36" s="353">
        <f>'Energy Data Entry'!B55</f>
        <v>43862</v>
      </c>
      <c r="C36" s="438"/>
      <c r="D36" s="454"/>
      <c r="E36" s="454"/>
      <c r="F36" s="415" t="str">
        <f t="shared" si="1"/>
        <v/>
      </c>
      <c r="G36" s="419"/>
      <c r="H36" s="419"/>
      <c r="I36" s="484"/>
      <c r="J36" s="419"/>
      <c r="K36" s="484"/>
      <c r="L36" s="419"/>
      <c r="M36" s="419"/>
      <c r="N36" s="423"/>
    </row>
    <row r="37" spans="2:14" ht="15.5">
      <c r="B37" s="353">
        <f>'Energy Data Entry'!B56</f>
        <v>43891</v>
      </c>
      <c r="C37" s="438"/>
      <c r="D37" s="454"/>
      <c r="E37" s="454"/>
      <c r="F37" s="415" t="str">
        <f t="shared" si="1"/>
        <v/>
      </c>
      <c r="G37" s="419"/>
      <c r="H37" s="419"/>
      <c r="I37" s="484"/>
      <c r="J37" s="419"/>
      <c r="K37" s="484"/>
      <c r="L37" s="419"/>
      <c r="M37" s="419"/>
      <c r="N37" s="423"/>
    </row>
    <row r="38" spans="2:14" ht="15.5">
      <c r="B38" s="353">
        <f>'Energy Data Entry'!B57</f>
        <v>43922</v>
      </c>
      <c r="C38" s="438"/>
      <c r="D38" s="454"/>
      <c r="E38" s="454"/>
      <c r="F38" s="415" t="str">
        <f t="shared" si="1"/>
        <v/>
      </c>
      <c r="G38" s="419"/>
      <c r="H38" s="419"/>
      <c r="I38" s="484"/>
      <c r="J38" s="419"/>
      <c r="K38" s="484"/>
      <c r="L38" s="419"/>
      <c r="M38" s="419"/>
      <c r="N38" s="423"/>
    </row>
    <row r="39" spans="2:14" ht="15.5">
      <c r="B39" s="353">
        <f>'Energy Data Entry'!B58</f>
        <v>43952</v>
      </c>
      <c r="C39" s="438"/>
      <c r="D39" s="454"/>
      <c r="E39" s="454"/>
      <c r="F39" s="415" t="str">
        <f t="shared" si="1"/>
        <v/>
      </c>
      <c r="G39" s="419"/>
      <c r="H39" s="419"/>
      <c r="I39" s="484"/>
      <c r="J39" s="419"/>
      <c r="K39" s="484"/>
      <c r="L39" s="419"/>
      <c r="M39" s="419"/>
      <c r="N39" s="423"/>
    </row>
    <row r="40" spans="2:14" ht="15.5">
      <c r="B40" s="353">
        <f>'Energy Data Entry'!B59</f>
        <v>43983</v>
      </c>
      <c r="C40" s="438"/>
      <c r="D40" s="454"/>
      <c r="E40" s="454"/>
      <c r="F40" s="415" t="str">
        <f t="shared" si="1"/>
        <v/>
      </c>
      <c r="G40" s="419"/>
      <c r="H40" s="419"/>
      <c r="I40" s="484"/>
      <c r="J40" s="419"/>
      <c r="K40" s="484"/>
      <c r="L40" s="419"/>
      <c r="M40" s="419"/>
      <c r="N40" s="423"/>
    </row>
    <row r="41" spans="2:14" ht="16" thickBot="1">
      <c r="B41" s="354">
        <f>'Energy Data Entry'!B60</f>
        <v>44013</v>
      </c>
      <c r="C41" s="439"/>
      <c r="D41" s="455"/>
      <c r="E41" s="455"/>
      <c r="F41" s="416" t="str">
        <f>IF(C41*(D41-E41)*8.34=0,"",C41*(D41-E41)*8.34)</f>
        <v/>
      </c>
      <c r="G41" s="420"/>
      <c r="H41" s="420"/>
      <c r="I41" s="485"/>
      <c r="J41" s="420"/>
      <c r="K41" s="485"/>
      <c r="L41" s="420"/>
      <c r="M41" s="420"/>
      <c r="N41" s="424"/>
    </row>
    <row r="42" spans="2:14" ht="15.5">
      <c r="B42" s="352">
        <f>'Energy Data Entry'!B61</f>
        <v>44044</v>
      </c>
      <c r="C42" s="440"/>
      <c r="D42" s="452"/>
      <c r="E42" s="452"/>
      <c r="F42" s="417" t="str">
        <f t="shared" si="1"/>
        <v/>
      </c>
      <c r="G42" s="418"/>
      <c r="H42" s="418"/>
      <c r="I42" s="486"/>
      <c r="J42" s="418"/>
      <c r="K42" s="486"/>
      <c r="L42" s="418"/>
      <c r="M42" s="418"/>
      <c r="N42" s="425"/>
    </row>
    <row r="43" spans="2:14" ht="15.5">
      <c r="B43" s="353">
        <f>'Energy Data Entry'!B62</f>
        <v>44075</v>
      </c>
      <c r="C43" s="441"/>
      <c r="D43" s="454"/>
      <c r="E43" s="454"/>
      <c r="F43" s="415" t="str">
        <f t="shared" si="1"/>
        <v/>
      </c>
      <c r="G43" s="419"/>
      <c r="H43" s="419"/>
      <c r="I43" s="484"/>
      <c r="J43" s="419"/>
      <c r="K43" s="484"/>
      <c r="L43" s="419"/>
      <c r="M43" s="419"/>
      <c r="N43" s="423"/>
    </row>
    <row r="44" spans="2:14" ht="15.5">
      <c r="B44" s="353">
        <f>'Energy Data Entry'!B63</f>
        <v>44105</v>
      </c>
      <c r="C44" s="441"/>
      <c r="D44" s="454"/>
      <c r="E44" s="454"/>
      <c r="F44" s="415" t="str">
        <f t="shared" si="1"/>
        <v/>
      </c>
      <c r="G44" s="419"/>
      <c r="H44" s="419"/>
      <c r="I44" s="484"/>
      <c r="J44" s="419"/>
      <c r="K44" s="484"/>
      <c r="L44" s="419"/>
      <c r="M44" s="419"/>
      <c r="N44" s="423"/>
    </row>
    <row r="45" spans="2:14" ht="15.5">
      <c r="B45" s="353">
        <f>'Energy Data Entry'!B64</f>
        <v>44136</v>
      </c>
      <c r="C45" s="441"/>
      <c r="D45" s="454"/>
      <c r="E45" s="454"/>
      <c r="F45" s="415" t="str">
        <f t="shared" si="1"/>
        <v/>
      </c>
      <c r="G45" s="419"/>
      <c r="H45" s="419"/>
      <c r="I45" s="484"/>
      <c r="J45" s="419"/>
      <c r="K45" s="484"/>
      <c r="L45" s="419"/>
      <c r="M45" s="419"/>
      <c r="N45" s="423"/>
    </row>
    <row r="46" spans="2:14" ht="15.5">
      <c r="B46" s="353">
        <f>'Energy Data Entry'!B65</f>
        <v>44166</v>
      </c>
      <c r="C46" s="441"/>
      <c r="D46" s="454"/>
      <c r="E46" s="454"/>
      <c r="F46" s="415" t="str">
        <f t="shared" si="1"/>
        <v/>
      </c>
      <c r="G46" s="419"/>
      <c r="H46" s="419"/>
      <c r="I46" s="484"/>
      <c r="J46" s="419"/>
      <c r="K46" s="484"/>
      <c r="L46" s="419"/>
      <c r="M46" s="419"/>
      <c r="N46" s="423"/>
    </row>
    <row r="47" spans="2:14" ht="15.5">
      <c r="B47" s="353">
        <f>'Energy Data Entry'!B66</f>
        <v>44197</v>
      </c>
      <c r="C47" s="441"/>
      <c r="D47" s="454"/>
      <c r="E47" s="454"/>
      <c r="F47" s="415" t="str">
        <f t="shared" si="1"/>
        <v/>
      </c>
      <c r="G47" s="419"/>
      <c r="H47" s="419"/>
      <c r="I47" s="484"/>
      <c r="J47" s="419"/>
      <c r="K47" s="484"/>
      <c r="L47" s="419"/>
      <c r="M47" s="419"/>
      <c r="N47" s="423"/>
    </row>
    <row r="48" spans="2:14" ht="15.5">
      <c r="B48" s="353">
        <f>'Energy Data Entry'!B67</f>
        <v>44228</v>
      </c>
      <c r="C48" s="441"/>
      <c r="D48" s="454"/>
      <c r="E48" s="454"/>
      <c r="F48" s="415" t="str">
        <f t="shared" si="1"/>
        <v/>
      </c>
      <c r="G48" s="419"/>
      <c r="H48" s="419"/>
      <c r="I48" s="484"/>
      <c r="J48" s="419"/>
      <c r="K48" s="484"/>
      <c r="L48" s="419"/>
      <c r="M48" s="419"/>
      <c r="N48" s="423"/>
    </row>
    <row r="49" spans="2:14" ht="15.5">
      <c r="B49" s="353">
        <f>'Energy Data Entry'!B68</f>
        <v>44256</v>
      </c>
      <c r="C49" s="441"/>
      <c r="D49" s="454"/>
      <c r="E49" s="454"/>
      <c r="F49" s="415" t="str">
        <f t="shared" si="1"/>
        <v/>
      </c>
      <c r="G49" s="419"/>
      <c r="H49" s="419"/>
      <c r="I49" s="484"/>
      <c r="J49" s="419"/>
      <c r="K49" s="484"/>
      <c r="L49" s="419"/>
      <c r="M49" s="419"/>
      <c r="N49" s="423"/>
    </row>
    <row r="50" spans="2:14" ht="15.5">
      <c r="B50" s="353">
        <f>'Energy Data Entry'!B69</f>
        <v>44287</v>
      </c>
      <c r="C50" s="441"/>
      <c r="D50" s="454"/>
      <c r="E50" s="454"/>
      <c r="F50" s="415" t="str">
        <f t="shared" si="1"/>
        <v/>
      </c>
      <c r="G50" s="419"/>
      <c r="H50" s="419"/>
      <c r="I50" s="484"/>
      <c r="J50" s="419"/>
      <c r="K50" s="484"/>
      <c r="L50" s="419"/>
      <c r="M50" s="419"/>
      <c r="N50" s="423"/>
    </row>
    <row r="51" spans="2:14" ht="15.5">
      <c r="B51" s="353">
        <f>'Energy Data Entry'!B70</f>
        <v>44317</v>
      </c>
      <c r="C51" s="441"/>
      <c r="D51" s="454"/>
      <c r="E51" s="454"/>
      <c r="F51" s="415" t="str">
        <f t="shared" si="1"/>
        <v/>
      </c>
      <c r="G51" s="419"/>
      <c r="H51" s="419"/>
      <c r="I51" s="484"/>
      <c r="J51" s="419"/>
      <c r="K51" s="484"/>
      <c r="L51" s="419"/>
      <c r="M51" s="419"/>
      <c r="N51" s="423"/>
    </row>
    <row r="52" spans="2:14" ht="15.5">
      <c r="B52" s="353">
        <f>'Energy Data Entry'!B71</f>
        <v>44348</v>
      </c>
      <c r="C52" s="441"/>
      <c r="D52" s="454"/>
      <c r="E52" s="454"/>
      <c r="F52" s="415" t="str">
        <f t="shared" si="1"/>
        <v/>
      </c>
      <c r="G52" s="419"/>
      <c r="H52" s="419"/>
      <c r="I52" s="484"/>
      <c r="J52" s="419"/>
      <c r="K52" s="484"/>
      <c r="L52" s="419"/>
      <c r="M52" s="419"/>
      <c r="N52" s="423"/>
    </row>
    <row r="53" spans="2:14" ht="16" thickBot="1">
      <c r="B53" s="354">
        <f>'Energy Data Entry'!B72</f>
        <v>44378</v>
      </c>
      <c r="C53" s="442"/>
      <c r="D53" s="455"/>
      <c r="E53" s="455"/>
      <c r="F53" s="416" t="str">
        <f t="shared" si="1"/>
        <v/>
      </c>
      <c r="G53" s="420"/>
      <c r="H53" s="420"/>
      <c r="I53" s="485"/>
      <c r="J53" s="420"/>
      <c r="K53" s="485"/>
      <c r="L53" s="420"/>
      <c r="M53" s="420"/>
      <c r="N53" s="424"/>
    </row>
    <row r="54" spans="2:14" ht="15.5">
      <c r="B54" s="352">
        <f>'Energy Data Entry'!B73</f>
        <v>44409</v>
      </c>
      <c r="C54" s="440"/>
      <c r="D54" s="452"/>
      <c r="E54" s="452"/>
      <c r="F54" s="417" t="str">
        <f t="shared" si="1"/>
        <v/>
      </c>
      <c r="G54" s="418"/>
      <c r="H54" s="418"/>
      <c r="I54" s="486"/>
      <c r="J54" s="418"/>
      <c r="K54" s="486"/>
      <c r="L54" s="418"/>
      <c r="M54" s="418"/>
      <c r="N54" s="425"/>
    </row>
    <row r="55" spans="2:14" ht="15.5">
      <c r="B55" s="353">
        <f>'Energy Data Entry'!B74</f>
        <v>44440</v>
      </c>
      <c r="C55" s="441"/>
      <c r="D55" s="454"/>
      <c r="E55" s="454"/>
      <c r="F55" s="415" t="str">
        <f t="shared" si="1"/>
        <v/>
      </c>
      <c r="G55" s="419"/>
      <c r="H55" s="419"/>
      <c r="I55" s="484"/>
      <c r="J55" s="419"/>
      <c r="K55" s="484"/>
      <c r="L55" s="419"/>
      <c r="M55" s="419"/>
      <c r="N55" s="423"/>
    </row>
    <row r="56" spans="2:14" ht="15.5">
      <c r="B56" s="353">
        <f>'Energy Data Entry'!B75</f>
        <v>44470</v>
      </c>
      <c r="C56" s="441"/>
      <c r="D56" s="454"/>
      <c r="E56" s="454"/>
      <c r="F56" s="415" t="str">
        <f t="shared" si="1"/>
        <v/>
      </c>
      <c r="G56" s="419"/>
      <c r="H56" s="419"/>
      <c r="I56" s="484"/>
      <c r="J56" s="419"/>
      <c r="K56" s="484"/>
      <c r="L56" s="419"/>
      <c r="M56" s="419"/>
      <c r="N56" s="423"/>
    </row>
    <row r="57" spans="2:14" ht="15.5">
      <c r="B57" s="353">
        <f>'Energy Data Entry'!B76</f>
        <v>44501</v>
      </c>
      <c r="C57" s="441"/>
      <c r="D57" s="454"/>
      <c r="E57" s="454"/>
      <c r="F57" s="415" t="str">
        <f t="shared" si="1"/>
        <v/>
      </c>
      <c r="G57" s="419"/>
      <c r="H57" s="419"/>
      <c r="I57" s="484"/>
      <c r="J57" s="419"/>
      <c r="K57" s="484"/>
      <c r="L57" s="419"/>
      <c r="M57" s="419"/>
      <c r="N57" s="423"/>
    </row>
    <row r="58" spans="2:14" ht="15.5">
      <c r="B58" s="353">
        <f>'Energy Data Entry'!B77</f>
        <v>44531</v>
      </c>
      <c r="C58" s="441"/>
      <c r="D58" s="454"/>
      <c r="E58" s="454"/>
      <c r="F58" s="415" t="str">
        <f t="shared" si="1"/>
        <v/>
      </c>
      <c r="G58" s="419"/>
      <c r="H58" s="419"/>
      <c r="I58" s="484"/>
      <c r="J58" s="419"/>
      <c r="K58" s="484"/>
      <c r="L58" s="419"/>
      <c r="M58" s="419"/>
      <c r="N58" s="423"/>
    </row>
    <row r="59" spans="2:14" ht="15.5">
      <c r="B59" s="353">
        <f>'Energy Data Entry'!B78</f>
        <v>44562</v>
      </c>
      <c r="C59" s="441"/>
      <c r="D59" s="454"/>
      <c r="E59" s="454"/>
      <c r="F59" s="415" t="str">
        <f t="shared" si="1"/>
        <v/>
      </c>
      <c r="G59" s="419"/>
      <c r="H59" s="419"/>
      <c r="I59" s="484"/>
      <c r="J59" s="419"/>
      <c r="K59" s="484"/>
      <c r="L59" s="419"/>
      <c r="M59" s="419"/>
      <c r="N59" s="423"/>
    </row>
    <row r="60" spans="2:14" ht="15.5">
      <c r="B60" s="353">
        <f>'Energy Data Entry'!B79</f>
        <v>44593</v>
      </c>
      <c r="C60" s="441"/>
      <c r="D60" s="454"/>
      <c r="E60" s="454"/>
      <c r="F60" s="415" t="str">
        <f t="shared" si="1"/>
        <v/>
      </c>
      <c r="G60" s="419"/>
      <c r="H60" s="419"/>
      <c r="I60" s="484"/>
      <c r="J60" s="419"/>
      <c r="K60" s="484"/>
      <c r="L60" s="419"/>
      <c r="M60" s="419"/>
      <c r="N60" s="423"/>
    </row>
    <row r="61" spans="2:14" ht="15.5">
      <c r="B61" s="353">
        <f>'Energy Data Entry'!B80</f>
        <v>44621</v>
      </c>
      <c r="C61" s="441"/>
      <c r="D61" s="454"/>
      <c r="E61" s="454"/>
      <c r="F61" s="415" t="str">
        <f t="shared" si="1"/>
        <v/>
      </c>
      <c r="G61" s="419"/>
      <c r="H61" s="419"/>
      <c r="I61" s="484"/>
      <c r="J61" s="419"/>
      <c r="K61" s="484"/>
      <c r="L61" s="419"/>
      <c r="M61" s="419"/>
      <c r="N61" s="423"/>
    </row>
    <row r="62" spans="2:14" ht="15.5">
      <c r="B62" s="353">
        <f>'Energy Data Entry'!B81</f>
        <v>44652</v>
      </c>
      <c r="C62" s="441"/>
      <c r="D62" s="454"/>
      <c r="E62" s="454"/>
      <c r="F62" s="415" t="str">
        <f t="shared" si="1"/>
        <v/>
      </c>
      <c r="G62" s="419"/>
      <c r="H62" s="419"/>
      <c r="I62" s="484"/>
      <c r="J62" s="419"/>
      <c r="K62" s="484"/>
      <c r="L62" s="419"/>
      <c r="M62" s="419"/>
      <c r="N62" s="423"/>
    </row>
    <row r="63" spans="2:14" ht="15.5">
      <c r="B63" s="353">
        <f>'Energy Data Entry'!B82</f>
        <v>44682</v>
      </c>
      <c r="C63" s="441"/>
      <c r="D63" s="454"/>
      <c r="E63" s="454"/>
      <c r="F63" s="415" t="str">
        <f t="shared" si="1"/>
        <v/>
      </c>
      <c r="G63" s="419"/>
      <c r="H63" s="419"/>
      <c r="I63" s="484"/>
      <c r="J63" s="419"/>
      <c r="K63" s="484"/>
      <c r="L63" s="419"/>
      <c r="M63" s="419"/>
      <c r="N63" s="423"/>
    </row>
    <row r="64" spans="2:14" ht="15.5">
      <c r="B64" s="353">
        <f>'Energy Data Entry'!B83</f>
        <v>44713</v>
      </c>
      <c r="C64" s="441"/>
      <c r="D64" s="454"/>
      <c r="E64" s="454"/>
      <c r="F64" s="415" t="str">
        <f t="shared" si="1"/>
        <v/>
      </c>
      <c r="G64" s="419"/>
      <c r="H64" s="419"/>
      <c r="I64" s="484"/>
      <c r="J64" s="419"/>
      <c r="K64" s="484"/>
      <c r="L64" s="419"/>
      <c r="M64" s="419"/>
      <c r="N64" s="423"/>
    </row>
    <row r="65" spans="2:14" ht="16" thickBot="1">
      <c r="B65" s="354">
        <f>'Energy Data Entry'!B84</f>
        <v>44743</v>
      </c>
      <c r="C65" s="442"/>
      <c r="D65" s="455"/>
      <c r="E65" s="455"/>
      <c r="F65" s="416" t="str">
        <f t="shared" si="1"/>
        <v/>
      </c>
      <c r="G65" s="420"/>
      <c r="H65" s="420"/>
      <c r="I65" s="485"/>
      <c r="J65" s="420"/>
      <c r="K65" s="485"/>
      <c r="L65" s="420"/>
      <c r="M65" s="420"/>
      <c r="N65" s="424"/>
    </row>
    <row r="66" spans="2:14" ht="15.5">
      <c r="B66" s="352">
        <f>'Energy Data Entry'!B85</f>
        <v>44774</v>
      </c>
      <c r="C66" s="440"/>
      <c r="D66" s="452"/>
      <c r="E66" s="452"/>
      <c r="F66" s="417" t="str">
        <f t="shared" si="1"/>
        <v/>
      </c>
      <c r="G66" s="418"/>
      <c r="H66" s="418"/>
      <c r="I66" s="486"/>
      <c r="J66" s="418"/>
      <c r="K66" s="486"/>
      <c r="L66" s="418"/>
      <c r="M66" s="418"/>
      <c r="N66" s="425"/>
    </row>
    <row r="67" spans="2:14" ht="15.5">
      <c r="B67" s="353">
        <f>'Energy Data Entry'!B86</f>
        <v>44805</v>
      </c>
      <c r="C67" s="441"/>
      <c r="D67" s="454"/>
      <c r="E67" s="454"/>
      <c r="F67" s="415" t="str">
        <f t="shared" si="1"/>
        <v/>
      </c>
      <c r="G67" s="419"/>
      <c r="H67" s="419"/>
      <c r="I67" s="484"/>
      <c r="J67" s="419"/>
      <c r="K67" s="484"/>
      <c r="L67" s="419"/>
      <c r="M67" s="419"/>
      <c r="N67" s="423"/>
    </row>
    <row r="68" spans="2:14" ht="15.5">
      <c r="B68" s="353">
        <f>'Energy Data Entry'!B87</f>
        <v>44835</v>
      </c>
      <c r="C68" s="441"/>
      <c r="D68" s="454"/>
      <c r="E68" s="454"/>
      <c r="F68" s="415" t="str">
        <f t="shared" si="1"/>
        <v/>
      </c>
      <c r="G68" s="419"/>
      <c r="H68" s="419"/>
      <c r="I68" s="484"/>
      <c r="J68" s="419"/>
      <c r="K68" s="484"/>
      <c r="L68" s="419"/>
      <c r="M68" s="419"/>
      <c r="N68" s="423"/>
    </row>
    <row r="69" spans="2:14" ht="15.5">
      <c r="B69" s="353">
        <f>'Energy Data Entry'!B88</f>
        <v>44866</v>
      </c>
      <c r="C69" s="441"/>
      <c r="D69" s="454"/>
      <c r="E69" s="454"/>
      <c r="F69" s="415" t="str">
        <f t="shared" si="1"/>
        <v/>
      </c>
      <c r="G69" s="419"/>
      <c r="H69" s="419"/>
      <c r="I69" s="484"/>
      <c r="J69" s="419"/>
      <c r="K69" s="484"/>
      <c r="L69" s="419"/>
      <c r="M69" s="419"/>
      <c r="N69" s="423"/>
    </row>
    <row r="70" spans="2:14" ht="15.5">
      <c r="B70" s="353">
        <f>'Energy Data Entry'!B89</f>
        <v>44896</v>
      </c>
      <c r="C70" s="441"/>
      <c r="D70" s="454"/>
      <c r="E70" s="454"/>
      <c r="F70" s="415" t="str">
        <f t="shared" si="1"/>
        <v/>
      </c>
      <c r="G70" s="419"/>
      <c r="H70" s="419"/>
      <c r="I70" s="484"/>
      <c r="J70" s="419"/>
      <c r="K70" s="484"/>
      <c r="L70" s="419"/>
      <c r="M70" s="419"/>
      <c r="N70" s="423"/>
    </row>
    <row r="71" spans="2:14" ht="15.5">
      <c r="B71" s="353">
        <f>'Energy Data Entry'!B90</f>
        <v>44927</v>
      </c>
      <c r="C71" s="441"/>
      <c r="D71" s="454"/>
      <c r="E71" s="454"/>
      <c r="F71" s="415" t="str">
        <f t="shared" si="1"/>
        <v/>
      </c>
      <c r="G71" s="419"/>
      <c r="H71" s="419"/>
      <c r="I71" s="484"/>
      <c r="J71" s="419"/>
      <c r="K71" s="484"/>
      <c r="L71" s="419"/>
      <c r="M71" s="419"/>
      <c r="N71" s="423"/>
    </row>
    <row r="72" spans="2:14" ht="15.5">
      <c r="B72" s="353">
        <f>'Energy Data Entry'!B91</f>
        <v>44958</v>
      </c>
      <c r="C72" s="441"/>
      <c r="D72" s="454"/>
      <c r="E72" s="454"/>
      <c r="F72" s="415" t="str">
        <f t="shared" si="1"/>
        <v/>
      </c>
      <c r="G72" s="419"/>
      <c r="H72" s="419"/>
      <c r="I72" s="484"/>
      <c r="J72" s="419"/>
      <c r="K72" s="484"/>
      <c r="L72" s="419"/>
      <c r="M72" s="419"/>
      <c r="N72" s="423"/>
    </row>
    <row r="73" spans="2:14" ht="15.5">
      <c r="B73" s="353">
        <f>'Energy Data Entry'!B92</f>
        <v>44986</v>
      </c>
      <c r="C73" s="441"/>
      <c r="D73" s="454"/>
      <c r="E73" s="454"/>
      <c r="F73" s="415" t="str">
        <f t="shared" si="1"/>
        <v/>
      </c>
      <c r="G73" s="419"/>
      <c r="H73" s="419"/>
      <c r="I73" s="484"/>
      <c r="J73" s="419"/>
      <c r="K73" s="484"/>
      <c r="L73" s="419"/>
      <c r="M73" s="419"/>
      <c r="N73" s="423"/>
    </row>
    <row r="74" spans="2:14" ht="15.5">
      <c r="B74" s="353">
        <f>'Energy Data Entry'!B93</f>
        <v>45017</v>
      </c>
      <c r="C74" s="441"/>
      <c r="D74" s="454"/>
      <c r="E74" s="454"/>
      <c r="F74" s="415" t="str">
        <f t="shared" si="1"/>
        <v/>
      </c>
      <c r="G74" s="419"/>
      <c r="H74" s="419"/>
      <c r="I74" s="484"/>
      <c r="J74" s="419"/>
      <c r="K74" s="484"/>
      <c r="L74" s="419"/>
      <c r="M74" s="419"/>
      <c r="N74" s="423"/>
    </row>
    <row r="75" spans="2:14" ht="15.5">
      <c r="B75" s="353">
        <f>'Energy Data Entry'!B94</f>
        <v>45047</v>
      </c>
      <c r="C75" s="441"/>
      <c r="D75" s="454"/>
      <c r="E75" s="454"/>
      <c r="F75" s="415" t="str">
        <f t="shared" si="1"/>
        <v/>
      </c>
      <c r="G75" s="419"/>
      <c r="H75" s="419"/>
      <c r="I75" s="484"/>
      <c r="J75" s="419"/>
      <c r="K75" s="484"/>
      <c r="L75" s="419"/>
      <c r="M75" s="419"/>
      <c r="N75" s="423"/>
    </row>
    <row r="76" spans="2:14" ht="15.5">
      <c r="B76" s="353">
        <f>'Energy Data Entry'!B95</f>
        <v>45078</v>
      </c>
      <c r="C76" s="441"/>
      <c r="D76" s="454"/>
      <c r="E76" s="454"/>
      <c r="F76" s="415" t="str">
        <f t="shared" si="1"/>
        <v/>
      </c>
      <c r="G76" s="419"/>
      <c r="H76" s="419"/>
      <c r="I76" s="484"/>
      <c r="J76" s="419"/>
      <c r="K76" s="484"/>
      <c r="L76" s="419"/>
      <c r="M76" s="419"/>
      <c r="N76" s="423"/>
    </row>
    <row r="77" spans="2:14" ht="16" thickBot="1">
      <c r="B77" s="354">
        <f>'Energy Data Entry'!B96</f>
        <v>45108</v>
      </c>
      <c r="C77" s="442"/>
      <c r="D77" s="455"/>
      <c r="E77" s="455"/>
      <c r="F77" s="416" t="str">
        <f t="shared" si="1"/>
        <v/>
      </c>
      <c r="G77" s="420"/>
      <c r="H77" s="420"/>
      <c r="I77" s="485"/>
      <c r="J77" s="420"/>
      <c r="K77" s="485"/>
      <c r="L77" s="420"/>
      <c r="M77" s="420"/>
      <c r="N77" s="424"/>
    </row>
    <row r="78" spans="2:14" ht="15.5">
      <c r="B78" s="352">
        <f>'Energy Data Entry'!B97</f>
        <v>45139</v>
      </c>
      <c r="C78" s="440"/>
      <c r="D78" s="452"/>
      <c r="E78" s="452"/>
      <c r="F78" s="415" t="str">
        <f t="shared" si="1"/>
        <v/>
      </c>
      <c r="G78" s="418"/>
      <c r="H78" s="418"/>
      <c r="I78" s="486"/>
      <c r="J78" s="418"/>
      <c r="K78" s="486"/>
      <c r="L78" s="418"/>
      <c r="M78" s="418"/>
      <c r="N78" s="425"/>
    </row>
    <row r="79" spans="2:14" ht="15.5">
      <c r="B79" s="353">
        <f>'Energy Data Entry'!B98</f>
        <v>45170</v>
      </c>
      <c r="C79" s="441"/>
      <c r="D79" s="454"/>
      <c r="E79" s="454"/>
      <c r="F79" s="415" t="str">
        <f t="shared" si="1"/>
        <v/>
      </c>
      <c r="G79" s="419"/>
      <c r="H79" s="419"/>
      <c r="I79" s="484"/>
      <c r="J79" s="419"/>
      <c r="K79" s="484"/>
      <c r="L79" s="419"/>
      <c r="M79" s="419"/>
      <c r="N79" s="423"/>
    </row>
    <row r="80" spans="2:14" ht="15.5">
      <c r="B80" s="353">
        <f>'Energy Data Entry'!B99</f>
        <v>45200</v>
      </c>
      <c r="C80" s="441"/>
      <c r="D80" s="454"/>
      <c r="E80" s="454"/>
      <c r="F80" s="415" t="str">
        <f t="shared" si="1"/>
        <v/>
      </c>
      <c r="G80" s="419"/>
      <c r="H80" s="419"/>
      <c r="I80" s="484"/>
      <c r="J80" s="419"/>
      <c r="K80" s="484"/>
      <c r="L80" s="419"/>
      <c r="M80" s="419"/>
      <c r="N80" s="423"/>
    </row>
    <row r="81" spans="2:14" ht="15.5">
      <c r="B81" s="353">
        <f>'Energy Data Entry'!B100</f>
        <v>45231</v>
      </c>
      <c r="C81" s="441"/>
      <c r="D81" s="454"/>
      <c r="E81" s="454"/>
      <c r="F81" s="415" t="str">
        <f t="shared" si="1"/>
        <v/>
      </c>
      <c r="G81" s="419"/>
      <c r="H81" s="419"/>
      <c r="I81" s="484"/>
      <c r="J81" s="419"/>
      <c r="K81" s="484"/>
      <c r="L81" s="419"/>
      <c r="M81" s="419"/>
      <c r="N81" s="423"/>
    </row>
    <row r="82" spans="2:14" ht="15.5">
      <c r="B82" s="353">
        <f>'Energy Data Entry'!B101</f>
        <v>45261</v>
      </c>
      <c r="C82" s="441"/>
      <c r="D82" s="454"/>
      <c r="E82" s="454"/>
      <c r="F82" s="415" t="str">
        <f t="shared" si="1"/>
        <v/>
      </c>
      <c r="G82" s="419"/>
      <c r="H82" s="419"/>
      <c r="I82" s="484"/>
      <c r="J82" s="419"/>
      <c r="K82" s="484"/>
      <c r="L82" s="419"/>
      <c r="M82" s="419"/>
      <c r="N82" s="423"/>
    </row>
    <row r="83" spans="2:14" ht="15.5">
      <c r="B83" s="353">
        <f>'Energy Data Entry'!B102</f>
        <v>45292</v>
      </c>
      <c r="C83" s="441"/>
      <c r="D83" s="454"/>
      <c r="E83" s="454"/>
      <c r="F83" s="415" t="str">
        <f aca="true" t="shared" si="2" ref="F83:F89">IF(C83*(D83-E83)*8.34=0,"",C83*(D83-E83)*8.34)</f>
        <v/>
      </c>
      <c r="G83" s="419"/>
      <c r="H83" s="419"/>
      <c r="I83" s="484"/>
      <c r="J83" s="419"/>
      <c r="K83" s="484"/>
      <c r="L83" s="419"/>
      <c r="M83" s="419"/>
      <c r="N83" s="423"/>
    </row>
    <row r="84" spans="2:14" ht="15.5">
      <c r="B84" s="353">
        <f>'Energy Data Entry'!B103</f>
        <v>45323</v>
      </c>
      <c r="C84" s="441"/>
      <c r="D84" s="454"/>
      <c r="E84" s="454"/>
      <c r="F84" s="415" t="str">
        <f t="shared" si="2"/>
        <v/>
      </c>
      <c r="G84" s="419"/>
      <c r="H84" s="419"/>
      <c r="I84" s="484"/>
      <c r="J84" s="419"/>
      <c r="K84" s="484"/>
      <c r="L84" s="419"/>
      <c r="M84" s="419"/>
      <c r="N84" s="423"/>
    </row>
    <row r="85" spans="2:14" ht="15.5">
      <c r="B85" s="353">
        <f>'Energy Data Entry'!B104</f>
        <v>45352</v>
      </c>
      <c r="C85" s="441"/>
      <c r="D85" s="454"/>
      <c r="E85" s="454"/>
      <c r="F85" s="415" t="str">
        <f t="shared" si="2"/>
        <v/>
      </c>
      <c r="G85" s="419"/>
      <c r="H85" s="419"/>
      <c r="I85" s="484"/>
      <c r="J85" s="419"/>
      <c r="K85" s="484"/>
      <c r="L85" s="419"/>
      <c r="M85" s="419"/>
      <c r="N85" s="423"/>
    </row>
    <row r="86" spans="2:14" ht="15.5">
      <c r="B86" s="353">
        <f>'Energy Data Entry'!B105</f>
        <v>45383</v>
      </c>
      <c r="C86" s="441"/>
      <c r="D86" s="454"/>
      <c r="E86" s="454"/>
      <c r="F86" s="415" t="str">
        <f t="shared" si="2"/>
        <v/>
      </c>
      <c r="G86" s="419"/>
      <c r="H86" s="419"/>
      <c r="I86" s="484"/>
      <c r="J86" s="419"/>
      <c r="K86" s="484"/>
      <c r="L86" s="419"/>
      <c r="M86" s="419"/>
      <c r="N86" s="423"/>
    </row>
    <row r="87" spans="2:14" ht="15.5">
      <c r="B87" s="353">
        <f>'Energy Data Entry'!B106</f>
        <v>45413</v>
      </c>
      <c r="C87" s="441"/>
      <c r="D87" s="454"/>
      <c r="E87" s="454"/>
      <c r="F87" s="415" t="str">
        <f t="shared" si="2"/>
        <v/>
      </c>
      <c r="G87" s="419"/>
      <c r="H87" s="419"/>
      <c r="I87" s="484"/>
      <c r="J87" s="419"/>
      <c r="K87" s="484"/>
      <c r="L87" s="419"/>
      <c r="M87" s="419"/>
      <c r="N87" s="423"/>
    </row>
    <row r="88" spans="2:14" ht="15.5">
      <c r="B88" s="353">
        <f>'Energy Data Entry'!B107</f>
        <v>45444</v>
      </c>
      <c r="C88" s="441"/>
      <c r="D88" s="454"/>
      <c r="E88" s="454"/>
      <c r="F88" s="415" t="str">
        <f t="shared" si="2"/>
        <v/>
      </c>
      <c r="G88" s="419"/>
      <c r="H88" s="419"/>
      <c r="I88" s="484"/>
      <c r="J88" s="419"/>
      <c r="K88" s="484"/>
      <c r="L88" s="419"/>
      <c r="M88" s="419"/>
      <c r="N88" s="423"/>
    </row>
    <row r="89" spans="2:14" ht="16" thickBot="1">
      <c r="B89" s="354">
        <f>'Energy Data Entry'!B108</f>
        <v>45474</v>
      </c>
      <c r="C89" s="442"/>
      <c r="D89" s="455"/>
      <c r="E89" s="455"/>
      <c r="F89" s="416" t="str">
        <f t="shared" si="2"/>
        <v/>
      </c>
      <c r="G89" s="420"/>
      <c r="H89" s="420"/>
      <c r="I89" s="485"/>
      <c r="J89" s="420"/>
      <c r="K89" s="485"/>
      <c r="L89" s="420"/>
      <c r="M89" s="420"/>
      <c r="N89" s="424"/>
    </row>
    <row r="95" ht="15">
      <c r="J95" s="488"/>
    </row>
    <row r="96" ht="15">
      <c r="J96" s="488"/>
    </row>
    <row r="97" ht="15">
      <c r="J97" s="488"/>
    </row>
    <row r="98" ht="15">
      <c r="J98" s="488"/>
    </row>
    <row r="99" ht="15">
      <c r="J99" s="488"/>
    </row>
    <row r="100" ht="15">
      <c r="J100" s="488"/>
    </row>
    <row r="101" ht="15">
      <c r="J101" s="488"/>
    </row>
    <row r="102" ht="15">
      <c r="J102" s="488"/>
    </row>
    <row r="103" ht="15">
      <c r="J103" s="488"/>
    </row>
    <row r="104" ht="15">
      <c r="J104" s="488"/>
    </row>
    <row r="105" ht="15">
      <c r="J105" s="488"/>
    </row>
    <row r="106" ht="15">
      <c r="J106" s="488"/>
    </row>
    <row r="107" ht="15">
      <c r="J107" s="488"/>
    </row>
    <row r="108" ht="15">
      <c r="J108" s="488"/>
    </row>
    <row r="109" ht="15">
      <c r="J109" s="488"/>
    </row>
    <row r="110" ht="15">
      <c r="J110" s="488"/>
    </row>
    <row r="111" ht="15">
      <c r="J111" s="488"/>
    </row>
    <row r="112" ht="15">
      <c r="J112" s="488"/>
    </row>
    <row r="113" ht="15">
      <c r="J113" s="488"/>
    </row>
    <row r="114" ht="15">
      <c r="J114" s="488"/>
    </row>
    <row r="115" ht="15">
      <c r="J115" s="488"/>
    </row>
    <row r="116" ht="15">
      <c r="J116" s="488"/>
    </row>
    <row r="117" ht="15">
      <c r="J117" s="488"/>
    </row>
    <row r="118" ht="15">
      <c r="J118" s="488"/>
    </row>
    <row r="119" ht="15">
      <c r="J119" s="488"/>
    </row>
    <row r="120" ht="15">
      <c r="J120" s="488"/>
    </row>
    <row r="121" ht="15">
      <c r="J121" s="488"/>
    </row>
    <row r="122" ht="15">
      <c r="J122" s="488"/>
    </row>
    <row r="123" ht="15">
      <c r="J123" s="488"/>
    </row>
    <row r="124" ht="15">
      <c r="J124" s="488"/>
    </row>
    <row r="125" ht="15">
      <c r="J125" s="488"/>
    </row>
    <row r="126" ht="15">
      <c r="J126" s="488"/>
    </row>
    <row r="127" ht="15">
      <c r="J127" s="488"/>
    </row>
    <row r="128" ht="15">
      <c r="J128" s="488"/>
    </row>
    <row r="129" ht="15">
      <c r="J129" s="488"/>
    </row>
    <row r="130" ht="15">
      <c r="J130" s="488"/>
    </row>
    <row r="131" ht="15">
      <c r="J131" s="488"/>
    </row>
    <row r="132" ht="15">
      <c r="J132" s="488"/>
    </row>
    <row r="133" ht="15">
      <c r="J133" s="488"/>
    </row>
    <row r="134" ht="15">
      <c r="J134" s="488"/>
    </row>
    <row r="135" ht="15">
      <c r="J135" s="488"/>
    </row>
    <row r="136" ht="15">
      <c r="J136" s="488"/>
    </row>
    <row r="137" ht="15">
      <c r="J137" s="488"/>
    </row>
    <row r="138" ht="15">
      <c r="J138" s="488"/>
    </row>
    <row r="139" ht="15">
      <c r="J139" s="488"/>
    </row>
    <row r="140" ht="15">
      <c r="J140" s="488"/>
    </row>
    <row r="141" ht="15">
      <c r="J141" s="488"/>
    </row>
    <row r="142" ht="15">
      <c r="J142" s="488"/>
    </row>
    <row r="143" ht="15">
      <c r="J143" s="488"/>
    </row>
    <row r="144" ht="15">
      <c r="J144" s="488"/>
    </row>
    <row r="145" ht="15">
      <c r="J145" s="488"/>
    </row>
    <row r="146" ht="15">
      <c r="J146" s="488"/>
    </row>
    <row r="147" ht="15">
      <c r="J147" s="488"/>
    </row>
    <row r="148" ht="15">
      <c r="J148" s="488"/>
    </row>
    <row r="149" ht="15">
      <c r="J149" s="488"/>
    </row>
    <row r="150" ht="15">
      <c r="J150" s="488"/>
    </row>
    <row r="151" ht="15">
      <c r="J151" s="488"/>
    </row>
    <row r="152" ht="15">
      <c r="J152" s="488"/>
    </row>
    <row r="153" ht="15">
      <c r="J153" s="488"/>
    </row>
    <row r="154" ht="15">
      <c r="J154" s="488"/>
    </row>
    <row r="155" ht="15">
      <c r="J155" s="488"/>
    </row>
    <row r="156" ht="15">
      <c r="J156" s="488"/>
    </row>
    <row r="157" ht="15">
      <c r="J157" s="488"/>
    </row>
    <row r="158" ht="15">
      <c r="J158" s="488"/>
    </row>
    <row r="159" ht="15">
      <c r="J159" s="488"/>
    </row>
    <row r="160" ht="15">
      <c r="J160" s="488"/>
    </row>
    <row r="161" ht="15">
      <c r="J161" s="488"/>
    </row>
    <row r="162" ht="15">
      <c r="J162" s="488"/>
    </row>
    <row r="163" ht="15">
      <c r="J163" s="488"/>
    </row>
    <row r="164" ht="15">
      <c r="J164" s="488"/>
    </row>
    <row r="165" ht="15">
      <c r="J165" s="488"/>
    </row>
    <row r="166" ht="15">
      <c r="J166" s="488"/>
    </row>
    <row r="167" ht="15">
      <c r="J167" s="488"/>
    </row>
    <row r="168" ht="15">
      <c r="J168" s="488"/>
    </row>
    <row r="169" ht="15">
      <c r="J169" s="488"/>
    </row>
    <row r="170" ht="15">
      <c r="J170" s="488"/>
    </row>
    <row r="171" ht="15">
      <c r="J171" s="488"/>
    </row>
    <row r="172" ht="15">
      <c r="J172" s="488"/>
    </row>
    <row r="173" ht="15">
      <c r="J173" s="488"/>
    </row>
    <row r="174" ht="15">
      <c r="J174" s="488"/>
    </row>
    <row r="175" ht="15">
      <c r="J175" s="488"/>
    </row>
    <row r="176" ht="15">
      <c r="J176" s="488"/>
    </row>
    <row r="177" ht="15">
      <c r="J177" s="488"/>
    </row>
    <row r="178" ht="15">
      <c r="J178" s="488"/>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C4">
      <selection activeCell="D17" sqref="D17"/>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596" t="s">
        <v>142</v>
      </c>
      <c r="C2" s="597"/>
      <c r="D2" s="597"/>
      <c r="E2" s="597"/>
      <c r="F2" s="597"/>
      <c r="G2" s="597"/>
      <c r="H2" s="597"/>
      <c r="I2" s="598"/>
      <c r="J2" s="281"/>
      <c r="K2" s="282"/>
    </row>
    <row r="3" spans="1:11" ht="46.5" customHeight="1" thickBot="1">
      <c r="A3" s="280"/>
      <c r="B3" s="599"/>
      <c r="C3" s="600"/>
      <c r="D3" s="600"/>
      <c r="E3" s="600"/>
      <c r="F3" s="600"/>
      <c r="G3" s="600"/>
      <c r="H3" s="600"/>
      <c r="I3" s="601"/>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Calculations'!F147,"")</f>
        <v/>
      </c>
      <c r="D6" s="217" t="str">
        <f>_xlfn.IFERROR('Background Calculations'!F149,"")</f>
        <v/>
      </c>
      <c r="E6" s="217" t="str">
        <f>_xlfn.IFERROR('Background Calculations'!F150,"")</f>
        <v/>
      </c>
      <c r="F6" s="217" t="str">
        <f>_xlfn.IFERROR('Background Calculations'!F151,"")</f>
        <v/>
      </c>
      <c r="G6" s="217" t="str">
        <f>_xlfn.IFERROR('Background Calculations'!F152,"")</f>
        <v/>
      </c>
      <c r="H6" s="218" t="str">
        <f>_xlfn.IFERROR('Background Calculations'!F153,"")</f>
        <v/>
      </c>
      <c r="I6" s="605" t="str">
        <f>_xlfn.IFERROR('Background Calculations'!F154,"")</f>
        <v/>
      </c>
      <c r="J6" s="602"/>
      <c r="K6" s="282"/>
    </row>
    <row r="7" spans="1:11" ht="15">
      <c r="A7" s="280"/>
      <c r="B7" s="210"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
        <v>125</v>
      </c>
      <c r="C8" s="230" t="str">
        <f>_xlfn.IFERROR('Background Calculations'!D147,"")</f>
        <v/>
      </c>
      <c r="D8" s="231" t="str">
        <f>_xlfn.IFERROR('Background Calculations'!D149,"")</f>
        <v/>
      </c>
      <c r="E8" s="231" t="str">
        <f>_xlfn.IFERROR('Background Calculations'!D150,"")</f>
        <v/>
      </c>
      <c r="F8" s="231" t="str">
        <f>_xlfn.IFERROR('Background Calculations'!D151,"")</f>
        <v/>
      </c>
      <c r="G8" s="231" t="str">
        <f>_xlfn.IFERROR('Background Calculations'!D152,"")</f>
        <v/>
      </c>
      <c r="H8" s="232" t="str">
        <f>_xlfn.IFERROR('Background Calculations'!D153,"")</f>
        <v/>
      </c>
      <c r="I8" s="607" t="str">
        <f>_xlfn.IFERROR('Background Calculations'!D154,"")</f>
        <v/>
      </c>
      <c r="J8" s="602"/>
      <c r="K8" s="282"/>
    </row>
    <row r="9" spans="1:11" ht="15">
      <c r="A9" s="280"/>
      <c r="B9" s="23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145</v>
      </c>
      <c r="C10" s="221" t="str">
        <f>_xlfn.IFERROR('Background Calculations'!G147,"")</f>
        <v/>
      </c>
      <c r="D10" s="222" t="str">
        <f>_xlfn.IFERROR('Background Calculations'!G149,"")</f>
        <v/>
      </c>
      <c r="E10" s="222" t="str">
        <f>_xlfn.IFERROR('Background Calculations'!G150,"")</f>
        <v/>
      </c>
      <c r="F10" s="222" t="str">
        <f>_xlfn.IFERROR('Background Calculations'!G151,"")</f>
        <v/>
      </c>
      <c r="G10" s="222" t="str">
        <f>_xlfn.IFERROR('Background Calculations'!G152,"")</f>
        <v/>
      </c>
      <c r="H10" s="223" t="str">
        <f>_xlfn.IFERROR('Background Calculations'!G153,"")</f>
        <v/>
      </c>
      <c r="I10" s="609" t="str">
        <f>_xlfn.IFERROR('Background Calculations'!G154,"")</f>
        <v/>
      </c>
      <c r="J10" s="602"/>
      <c r="K10" s="282"/>
    </row>
    <row r="11" spans="1:11" ht="15">
      <c r="A11" s="280"/>
      <c r="B11" s="210"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Calculations'!H147,"")</f>
        <v/>
      </c>
      <c r="D12" s="237" t="str">
        <f>_xlfn.IFERROR('Background Calculations'!H149,"")</f>
        <v/>
      </c>
      <c r="E12" s="237" t="str">
        <f>_xlfn.IFERROR('Background Calculations'!H150,"")</f>
        <v/>
      </c>
      <c r="F12" s="237" t="str">
        <f>_xlfn.IFERROR('Background Calculations'!H151,"")</f>
        <v/>
      </c>
      <c r="G12" s="237" t="str">
        <f>_xlfn.IFERROR('Background Calculations'!H152,"")</f>
        <v/>
      </c>
      <c r="H12" s="238" t="str">
        <f>_xlfn.IFERROR('Background Calculations'!H153,"")</f>
        <v/>
      </c>
      <c r="I12" s="610" t="str">
        <f>_xlfn.IFERROR('Background Calculations'!H154,"")</f>
        <v/>
      </c>
      <c r="J12" s="602"/>
      <c r="K12" s="282"/>
    </row>
    <row r="13" spans="1:11" ht="15">
      <c r="A13" s="280"/>
      <c r="B13" s="233" t="s">
        <v>133</v>
      </c>
      <c r="C13" s="239"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144</v>
      </c>
      <c r="C14" s="224" t="str">
        <f>_xlfn.IFERROR('Background Calculations'!J147,"")</f>
        <v/>
      </c>
      <c r="D14" s="225" t="str">
        <f>_xlfn.IFERROR('Background Calculations'!J149,"")</f>
        <v/>
      </c>
      <c r="E14" s="225" t="str">
        <f>_xlfn.IFERROR('Background Calculations'!J150,"")</f>
        <v/>
      </c>
      <c r="F14" s="225" t="str">
        <f>_xlfn.IFERROR('Background Calculations'!J151,"")</f>
        <v/>
      </c>
      <c r="G14" s="225" t="str">
        <f>_xlfn.IFERROR('Background Calculations'!J152,"")</f>
        <v/>
      </c>
      <c r="H14" s="226" t="str">
        <f>_xlfn.IFERROR('Background Calculations'!J153,"")</f>
        <v/>
      </c>
      <c r="I14" s="609" t="str">
        <f>_xlfn.IFERROR('Background Calculations'!J154,"")</f>
        <v/>
      </c>
      <c r="J14" s="602"/>
      <c r="K14" s="282"/>
    </row>
    <row r="15" spans="1:11" ht="15">
      <c r="A15" s="280"/>
      <c r="B15" s="210" t="s">
        <v>133</v>
      </c>
      <c r="C15" s="211" t="s">
        <v>134</v>
      </c>
      <c r="D15" s="214" t="str">
        <f>_xlfn.IFERROR(ROUND((D14/$C$14-1)*100,1)&amp;"%","")</f>
        <v/>
      </c>
      <c r="E15" s="214" t="str">
        <f>_xlfn.IFERROR(ROUND((E14/$C$14-1)*100,1)&amp;"%","")</f>
        <v/>
      </c>
      <c r="F15" s="214" t="str">
        <f aca="true" t="shared" si="0" ref="F15:H15">_xlfn.IFERROR(ROUND((F14/$C$14-1)*100,1)&amp;"%","")</f>
        <v/>
      </c>
      <c r="G15" s="214" t="str">
        <f t="shared" si="0"/>
        <v/>
      </c>
      <c r="H15" s="211" t="str">
        <f t="shared" si="0"/>
        <v/>
      </c>
      <c r="I15" s="606"/>
      <c r="J15" s="602"/>
      <c r="K15" s="282"/>
    </row>
    <row r="16" spans="1:11" ht="32.25" customHeight="1">
      <c r="A16" s="280"/>
      <c r="B16" s="260" t="s">
        <v>146</v>
      </c>
      <c r="C16" s="240" t="str">
        <f>_xlfn.IFERROR('Background Calculations'!I147,"")</f>
        <v/>
      </c>
      <c r="D16" s="241" t="str">
        <f>_xlfn.IFERROR('Background Calculations'!I149,"")</f>
        <v/>
      </c>
      <c r="E16" s="241" t="str">
        <f>_xlfn.IFERROR('Background Calculations'!I150,"")</f>
        <v/>
      </c>
      <c r="F16" s="241" t="str">
        <f>_xlfn.IFERROR('Background Calculations'!I151,"")</f>
        <v/>
      </c>
      <c r="G16" s="241" t="str">
        <f>_xlfn.IFERROR('Background Calculations'!I152,"")</f>
        <v/>
      </c>
      <c r="H16" s="242" t="str">
        <f>_xlfn.IFERROR('Background Calculations'!I153,"")</f>
        <v/>
      </c>
      <c r="I16" s="612" t="str">
        <f>_xlfn.IFERROR('Background Calculations'!I154,"")</f>
        <v/>
      </c>
      <c r="J16" s="602"/>
      <c r="K16" s="282"/>
    </row>
    <row r="17" spans="1:11" ht="15">
      <c r="A17" s="280"/>
      <c r="B17" s="23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411" t="str">
        <f>'Background Calculations'!N145</f>
        <v>Avg Billed Electric Demand (kW)</v>
      </c>
      <c r="C18" s="340" t="str">
        <f>_xlfn.IFERROR('Background Calculations'!N147,"")</f>
        <v/>
      </c>
      <c r="D18" s="341" t="str">
        <f>_xlfn.IFERROR('Background Calculations'!N149,"")</f>
        <v/>
      </c>
      <c r="E18" s="341" t="str">
        <f>_xlfn.IFERROR('Background Calculations'!N150,"")</f>
        <v/>
      </c>
      <c r="F18" s="341" t="str">
        <f>_xlfn.IFERROR('Background Calculations'!N151,"")</f>
        <v/>
      </c>
      <c r="G18" s="341" t="str">
        <f>_xlfn.IFERROR('Background Calculations'!N152,"")</f>
        <v/>
      </c>
      <c r="H18" s="342" t="str">
        <f>_xlfn.IFERROR('Background Calculations'!N153,"")</f>
        <v/>
      </c>
      <c r="I18" s="603" t="str">
        <f>_xlfn.IFERROR('Background Calculations'!N154,"")</f>
        <v/>
      </c>
      <c r="J18" s="281"/>
      <c r="K18" s="282"/>
    </row>
    <row r="19" spans="1:11" ht="15" customHeight="1" thickBot="1">
      <c r="A19" s="280"/>
      <c r="B19" s="212" t="s">
        <v>133</v>
      </c>
      <c r="C19" s="409"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04"/>
      <c r="J19" s="281"/>
      <c r="K19" s="282"/>
    </row>
    <row r="20" spans="1:11" ht="32.25" customHeight="1" thickBot="1">
      <c r="A20" s="280"/>
      <c r="B20" s="209"/>
      <c r="C20" s="285"/>
      <c r="D20" s="286"/>
      <c r="E20" s="286"/>
      <c r="F20" s="286"/>
      <c r="G20" s="286"/>
      <c r="H20" s="286"/>
      <c r="I20" s="257" t="s">
        <v>140</v>
      </c>
      <c r="J20" s="281"/>
      <c r="K20" s="282"/>
    </row>
    <row r="21" spans="1:11" ht="30" customHeight="1">
      <c r="A21" s="280"/>
      <c r="B21" s="243" t="s">
        <v>212</v>
      </c>
      <c r="C21" s="244" t="s">
        <v>134</v>
      </c>
      <c r="D21" s="245" t="str">
        <f>_xlfn.IFERROR('Background Calculations'!K149,"")</f>
        <v/>
      </c>
      <c r="E21" s="245" t="str">
        <f>_xlfn.IFERROR('Background Calculations'!K150,"")</f>
        <v/>
      </c>
      <c r="F21" s="245" t="str">
        <f>_xlfn.IFERROR('Background Calculations'!K151,"")</f>
        <v/>
      </c>
      <c r="G21" s="245" t="str">
        <f>_xlfn.IFERROR('Background Calculations'!K152,"")</f>
        <v/>
      </c>
      <c r="H21" s="246" t="str">
        <f>_xlfn.IFERROR('Background Calculations'!K153,"")</f>
        <v/>
      </c>
      <c r="I21" s="247" t="str">
        <f>IF(SUM(D21:H21)=0,"",SUM(D21:H21))</f>
        <v/>
      </c>
      <c r="J21" s="281"/>
      <c r="K21" s="282"/>
    </row>
    <row r="22" spans="1:11" ht="30" customHeight="1" thickBot="1">
      <c r="A22" s="280"/>
      <c r="B22" s="248" t="s">
        <v>213</v>
      </c>
      <c r="C22" s="249" t="s">
        <v>134</v>
      </c>
      <c r="D22" s="250" t="str">
        <f>_xlfn.IFERROR('Background Calculations'!O149,"")</f>
        <v/>
      </c>
      <c r="E22" s="250" t="str">
        <f>_xlfn.IFERROR('Background Calculations'!O150,"")</f>
        <v/>
      </c>
      <c r="F22" s="250" t="str">
        <f>_xlfn.IFERROR('Background Calculations'!O151,"")</f>
        <v/>
      </c>
      <c r="G22" s="250" t="str">
        <f>_xlfn.IFERROR('Background Calculations'!O152,"")</f>
        <v/>
      </c>
      <c r="H22" s="251" t="str">
        <f>_xlfn.IFERROR('Background Calculations'!O153,"")</f>
        <v/>
      </c>
      <c r="I22" s="252" t="str">
        <f>IF(SUM(D22:H22)=0,"",SUM(D22:H22))</f>
        <v/>
      </c>
      <c r="J22" s="281"/>
      <c r="K22" s="282"/>
    </row>
    <row r="23" spans="1:11" ht="15"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mergeCells count="14">
    <mergeCell ref="I18:I19"/>
    <mergeCell ref="J14:J15"/>
    <mergeCell ref="J16:J17"/>
    <mergeCell ref="I6:I7"/>
    <mergeCell ref="I8:I9"/>
    <mergeCell ref="I10:I11"/>
    <mergeCell ref="I12:I13"/>
    <mergeCell ref="I14:I15"/>
    <mergeCell ref="I16:I17"/>
    <mergeCell ref="B2:I3"/>
    <mergeCell ref="J6:J7"/>
    <mergeCell ref="J8:J9"/>
    <mergeCell ref="J10:J11"/>
    <mergeCell ref="J12:J13"/>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4">
      <selection activeCell="H17" sqref="H17"/>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615" t="s">
        <v>153</v>
      </c>
      <c r="C2" s="616"/>
      <c r="D2" s="616"/>
      <c r="E2" s="616"/>
      <c r="F2" s="616"/>
      <c r="G2" s="616"/>
      <c r="H2" s="616"/>
      <c r="I2" s="617"/>
      <c r="J2" s="281"/>
      <c r="K2" s="282"/>
    </row>
    <row r="3" spans="1:11" ht="46.5" customHeight="1" thickBot="1">
      <c r="A3" s="280"/>
      <c r="B3" s="618"/>
      <c r="C3" s="619"/>
      <c r="D3" s="619"/>
      <c r="E3" s="619"/>
      <c r="F3" s="619"/>
      <c r="G3" s="619"/>
      <c r="H3" s="619"/>
      <c r="I3" s="620"/>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Calculations'!F160,"")</f>
        <v/>
      </c>
      <c r="D6" s="217" t="str">
        <f>_xlfn.IFERROR('Background Calculations'!F162,"")</f>
        <v/>
      </c>
      <c r="E6" s="217" t="str">
        <f>_xlfn.IFERROR('Background Calculations'!F163,"")</f>
        <v/>
      </c>
      <c r="F6" s="217" t="str">
        <f>_xlfn.IFERROR('Background Calculations'!F164,"")</f>
        <v/>
      </c>
      <c r="G6" s="217" t="str">
        <f>_xlfn.IFERROR('Background Calculations'!F165,"")</f>
        <v/>
      </c>
      <c r="H6" s="218" t="str">
        <f>_xlfn.IFERROR('Background Calculations'!F166,"")</f>
        <v/>
      </c>
      <c r="I6" s="605" t="str">
        <f>_xlfn.IFERROR('Background Calculations'!F167,"")</f>
        <v/>
      </c>
      <c r="J6" s="602"/>
      <c r="K6" s="282"/>
    </row>
    <row r="7" spans="1:11" ht="15">
      <c r="A7" s="280"/>
      <c r="B7" s="210" t="s">
        <v>133</v>
      </c>
      <c r="C7" s="432" t="s">
        <v>134</v>
      </c>
      <c r="D7" s="214" t="str">
        <f>_xlfn.IFERROR(ROUND((D6/$C$6-1)*100,1)&amp;"%","")</f>
        <v/>
      </c>
      <c r="E7" s="214" t="str">
        <f>_xlfn.IFERROR(ROUND((E6/$C$6-1)*100,1)&amp;"%","")</f>
        <v/>
      </c>
      <c r="F7" s="214" t="str">
        <f>_xlfn.IFERROR(ROUND((F6/$C$6-1)*100,1)&amp;"%","")</f>
        <v/>
      </c>
      <c r="G7" s="214" t="str">
        <f>_xlfn.IFERROR(ROUND((G6/$C$6-1)*100,1)&amp;"%","")</f>
        <v/>
      </c>
      <c r="H7" s="214" t="str">
        <f>_xlfn.IFERROR(ROUND((H6/$C$6-1)*100,1)&amp;"%","")</f>
        <v/>
      </c>
      <c r="I7" s="606"/>
      <c r="J7" s="602"/>
      <c r="K7" s="282"/>
    </row>
    <row r="8" spans="1:11" ht="32.25" customHeight="1">
      <c r="A8" s="280"/>
      <c r="B8" s="260" t="s">
        <v>154</v>
      </c>
      <c r="C8" s="355" t="str">
        <f>_xlfn.IFERROR('Background Calculations'!D160,"")</f>
        <v/>
      </c>
      <c r="D8" s="356" t="str">
        <f>_xlfn.IFERROR('Background Calculations'!D162,"")</f>
        <v/>
      </c>
      <c r="E8" s="356" t="str">
        <f>_xlfn.IFERROR('Background Calculations'!D163,"")</f>
        <v/>
      </c>
      <c r="F8" s="356" t="str">
        <f>_xlfn.IFERROR('Background Calculations'!D164,"")</f>
        <v/>
      </c>
      <c r="G8" s="356" t="str">
        <f>_xlfn.IFERROR('Background Calculations'!D165,"")</f>
        <v/>
      </c>
      <c r="H8" s="357" t="str">
        <f>_xlfn.IFERROR('Background Calculations'!D166,"")</f>
        <v/>
      </c>
      <c r="I8" s="607" t="str">
        <f>_xlfn.IFERROR('Background Calculations'!D167,"")</f>
        <v/>
      </c>
      <c r="J8" s="602"/>
      <c r="K8" s="282"/>
    </row>
    <row r="9" spans="1:11" ht="15">
      <c r="A9" s="280"/>
      <c r="B9" s="233" t="s">
        <v>133</v>
      </c>
      <c r="C9" s="433"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155</v>
      </c>
      <c r="C10" s="445" t="str">
        <f>_xlfn.IFERROR('Background Calculations'!G160,"")</f>
        <v/>
      </c>
      <c r="D10" s="446" t="str">
        <f>_xlfn.IFERROR('Background Calculations'!G162,"")</f>
        <v/>
      </c>
      <c r="E10" s="446" t="str">
        <f>_xlfn.IFERROR('Background Calculations'!G163,"")</f>
        <v/>
      </c>
      <c r="F10" s="446" t="str">
        <f>_xlfn.IFERROR('Background Calculations'!G164,"")</f>
        <v/>
      </c>
      <c r="G10" s="446" t="str">
        <f>_xlfn.IFERROR('Background Calculations'!G165,"")</f>
        <v/>
      </c>
      <c r="H10" s="447" t="str">
        <f>_xlfn.IFERROR('Background Calculations'!G166,"")</f>
        <v/>
      </c>
      <c r="I10" s="609" t="str">
        <f>_xlfn.IFERROR('Background Calculations'!G167,"")</f>
        <v/>
      </c>
      <c r="J10" s="602"/>
      <c r="K10" s="282"/>
    </row>
    <row r="11" spans="1:11" ht="15">
      <c r="A11" s="280"/>
      <c r="B11" s="210" t="s">
        <v>133</v>
      </c>
      <c r="C11" s="43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Calculations'!H160,"")</f>
        <v/>
      </c>
      <c r="D12" s="237" t="str">
        <f>_xlfn.IFERROR('Background Calculations'!H162,"")</f>
        <v/>
      </c>
      <c r="E12" s="237" t="str">
        <f>_xlfn.IFERROR('Background Calculations'!H163,"")</f>
        <v/>
      </c>
      <c r="F12" s="237" t="str">
        <f>_xlfn.IFERROR('Background Calculations'!H164,"")</f>
        <v/>
      </c>
      <c r="G12" s="237" t="str">
        <f>_xlfn.IFERROR('Background Calculations'!H165,"")</f>
        <v/>
      </c>
      <c r="H12" s="238" t="str">
        <f>_xlfn.IFERROR('Background Calculations'!H166,"")</f>
        <v/>
      </c>
      <c r="I12" s="610" t="str">
        <f>_xlfn.IFERROR('Background Calculations'!H167,"")</f>
        <v/>
      </c>
      <c r="J12" s="602"/>
      <c r="K12" s="282"/>
    </row>
    <row r="13" spans="1:11" ht="15">
      <c r="A13" s="280"/>
      <c r="B13" s="233" t="s">
        <v>133</v>
      </c>
      <c r="C13" s="434"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156</v>
      </c>
      <c r="C14" s="224" t="str">
        <f>_xlfn.IFERROR('Background Calculations'!J160,"")</f>
        <v/>
      </c>
      <c r="D14" s="225" t="str">
        <f>_xlfn.IFERROR('Background Calculations'!J162,"")</f>
        <v/>
      </c>
      <c r="E14" s="225" t="str">
        <f>_xlfn.IFERROR('Background Calculations'!J163,"")</f>
        <v/>
      </c>
      <c r="F14" s="225" t="str">
        <f>_xlfn.IFERROR('Background Calculations'!J164,"")</f>
        <v/>
      </c>
      <c r="G14" s="225" t="str">
        <f>_xlfn.IFERROR('Background Calculations'!J165,"")</f>
        <v/>
      </c>
      <c r="H14" s="226" t="str">
        <f>_xlfn.IFERROR('Background Calculations'!J166,"")</f>
        <v/>
      </c>
      <c r="I14" s="609" t="str">
        <f>_xlfn.IFERROR('Background Calculations'!J167,"")</f>
        <v/>
      </c>
      <c r="J14" s="602"/>
      <c r="K14" s="282"/>
    </row>
    <row r="15" spans="1:11" ht="15">
      <c r="A15" s="280"/>
      <c r="B15" s="210" t="s">
        <v>133</v>
      </c>
      <c r="C15" s="43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146</v>
      </c>
      <c r="C16" s="240" t="str">
        <f>_xlfn.IFERROR('Background Calculations'!I160,"")</f>
        <v/>
      </c>
      <c r="D16" s="241" t="str">
        <f>_xlfn.IFERROR('Background Calculations'!I162,"")</f>
        <v/>
      </c>
      <c r="E16" s="241" t="str">
        <f>_xlfn.IFERROR('Background Calculations'!I163,"")</f>
        <v/>
      </c>
      <c r="F16" s="241" t="str">
        <f>_xlfn.IFERROR('Background Calculations'!I164,"")</f>
        <v/>
      </c>
      <c r="G16" s="241" t="str">
        <f>_xlfn.IFERROR('Background Calculations'!I165,"")</f>
        <v/>
      </c>
      <c r="H16" s="242" t="str">
        <f>_xlfn.IFERROR('Background Calculations'!I166,"")</f>
        <v/>
      </c>
      <c r="I16" s="612" t="str">
        <f>_xlfn.IFERROR('Background Calculations'!I167,"")</f>
        <v/>
      </c>
      <c r="J16" s="602"/>
      <c r="K16" s="282"/>
    </row>
    <row r="17" spans="1:11" ht="15">
      <c r="A17" s="280"/>
      <c r="B17" s="233" t="s">
        <v>133</v>
      </c>
      <c r="C17" s="434"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262" t="s">
        <v>127</v>
      </c>
      <c r="C18" s="227" t="str">
        <f>_xlfn.IFERROR('Background Calculations'!N147,"")</f>
        <v/>
      </c>
      <c r="D18" s="228" t="str">
        <f>_xlfn.IFERROR('Background Calculations'!N149,"")</f>
        <v/>
      </c>
      <c r="E18" s="228" t="str">
        <f>_xlfn.IFERROR('Background Calculations'!N150,"")</f>
        <v/>
      </c>
      <c r="F18" s="228" t="str">
        <f>_xlfn.IFERROR('Background Calculations'!N151,"")</f>
        <v/>
      </c>
      <c r="G18" s="228" t="str">
        <f>_xlfn.IFERROR('Background Calculations'!N152,"")</f>
        <v/>
      </c>
      <c r="H18" s="229" t="str">
        <f>_xlfn.IFERROR('Background Calculations'!N153,"")</f>
        <v/>
      </c>
      <c r="I18" s="609" t="str">
        <f>_xlfn.IFERROR('Background Calculations'!N154,"")</f>
        <v/>
      </c>
      <c r="J18" s="281"/>
      <c r="K18" s="282"/>
    </row>
    <row r="19" spans="1:11" ht="15" customHeight="1" thickBot="1">
      <c r="A19" s="280"/>
      <c r="B19" s="212" t="s">
        <v>133</v>
      </c>
      <c r="C19" s="435"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14"/>
      <c r="J19" s="281"/>
      <c r="K19" s="282"/>
    </row>
    <row r="20" spans="1:11" ht="32.25" customHeight="1" thickBot="1">
      <c r="A20" s="280"/>
      <c r="B20" s="209"/>
      <c r="C20" s="285"/>
      <c r="D20" s="286"/>
      <c r="E20" s="286"/>
      <c r="F20" s="286"/>
      <c r="G20" s="286"/>
      <c r="H20" s="286"/>
      <c r="I20" s="302" t="s">
        <v>140</v>
      </c>
      <c r="J20" s="281"/>
      <c r="K20" s="282"/>
    </row>
    <row r="21" spans="1:11" ht="30" customHeight="1">
      <c r="A21" s="280"/>
      <c r="B21" s="304" t="s">
        <v>138</v>
      </c>
      <c r="C21" s="305" t="s">
        <v>134</v>
      </c>
      <c r="D21" s="306" t="str">
        <f>_xlfn.IFERROR('Background Calculations'!K162,"")</f>
        <v/>
      </c>
      <c r="E21" s="306" t="str">
        <f>_xlfn.IFERROR('Background Calculations'!K163,"")</f>
        <v/>
      </c>
      <c r="F21" s="306" t="str">
        <f>_xlfn.IFERROR('Background Calculations'!K164,"")</f>
        <v/>
      </c>
      <c r="G21" s="306" t="str">
        <f>_xlfn.IFERROR('Background Calculations'!K165,"")</f>
        <v/>
      </c>
      <c r="H21" s="307" t="str">
        <f>_xlfn.IFERROR('Background Calculations'!K166,"")</f>
        <v/>
      </c>
      <c r="I21" s="303" t="str">
        <f>IF(SUM(D21:H21)=0,"",SUM(D21:H21))</f>
        <v/>
      </c>
      <c r="J21" s="281"/>
      <c r="K21" s="282"/>
    </row>
    <row r="22" spans="1:11" ht="30" customHeight="1" thickBot="1">
      <c r="A22" s="280"/>
      <c r="B22" s="308" t="s">
        <v>136</v>
      </c>
      <c r="C22" s="309" t="s">
        <v>134</v>
      </c>
      <c r="D22" s="449" t="str">
        <f>_xlfn.IFERROR('Background Calculations'!N162,"")</f>
        <v/>
      </c>
      <c r="E22" s="449" t="str">
        <f>_xlfn.IFERROR('Background Calculations'!N163,"")</f>
        <v/>
      </c>
      <c r="F22" s="449" t="str">
        <f>_xlfn.IFERROR('Background Calculations'!N164,"")</f>
        <v/>
      </c>
      <c r="G22" s="449" t="str">
        <f>_xlfn.IFERROR('Background Calculations'!N165,"")</f>
        <v/>
      </c>
      <c r="H22" s="450" t="str">
        <f>_xlfn.IFERROR('Background Calculations'!N166,"")</f>
        <v/>
      </c>
      <c r="I22" s="451" t="str">
        <f>IF(SUM(D22:H22)=0,"",SUM(D22:H22))</f>
        <v/>
      </c>
      <c r="J22" s="281"/>
      <c r="K22" s="282"/>
    </row>
    <row r="23" spans="1:11" ht="15" thickBot="1">
      <c r="A23" s="287"/>
      <c r="B23" s="288"/>
      <c r="C23" s="289"/>
      <c r="D23" s="289"/>
      <c r="E23" s="289"/>
      <c r="F23" s="289"/>
      <c r="G23" s="289"/>
      <c r="H23" s="289"/>
      <c r="I23" s="289"/>
      <c r="J23" s="289"/>
      <c r="K23" s="290"/>
    </row>
    <row r="24" spans="1:12" ht="15">
      <c r="A24" s="324"/>
      <c r="B24" s="430"/>
      <c r="C24" s="324"/>
      <c r="D24" s="324"/>
      <c r="E24" s="324"/>
      <c r="F24" s="324"/>
      <c r="G24" s="324"/>
      <c r="H24" s="324"/>
      <c r="I24" s="324"/>
      <c r="J24" s="324"/>
      <c r="K24" s="324"/>
      <c r="L24" s="324"/>
    </row>
  </sheetData>
  <mergeCells count="14">
    <mergeCell ref="I10:I11"/>
    <mergeCell ref="J10:J11"/>
    <mergeCell ref="B2:I3"/>
    <mergeCell ref="I6:I7"/>
    <mergeCell ref="J6:J7"/>
    <mergeCell ref="I8:I9"/>
    <mergeCell ref="J8:J9"/>
    <mergeCell ref="I18:I19"/>
    <mergeCell ref="I12:I13"/>
    <mergeCell ref="J12:J13"/>
    <mergeCell ref="I14:I15"/>
    <mergeCell ref="J14:J15"/>
    <mergeCell ref="I16:I17"/>
    <mergeCell ref="J16:J17"/>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I21" sqref="I2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2" customHeight="1">
      <c r="A2" s="280"/>
      <c r="B2" s="621" t="s">
        <v>157</v>
      </c>
      <c r="C2" s="622"/>
      <c r="D2" s="622"/>
      <c r="E2" s="622"/>
      <c r="F2" s="622"/>
      <c r="G2" s="622"/>
      <c r="H2" s="622"/>
      <c r="I2" s="623"/>
      <c r="J2" s="281"/>
      <c r="K2" s="282"/>
    </row>
    <row r="3" spans="1:11" ht="29.25" customHeight="1" thickBot="1">
      <c r="A3" s="280"/>
      <c r="B3" s="624"/>
      <c r="C3" s="625"/>
      <c r="D3" s="625"/>
      <c r="E3" s="625"/>
      <c r="F3" s="625"/>
      <c r="G3" s="625"/>
      <c r="H3" s="625"/>
      <c r="I3" s="626"/>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158</v>
      </c>
      <c r="C6" s="330" t="str">
        <f>_xlfn.IFERROR('Background Calculations'!D197,"")</f>
        <v/>
      </c>
      <c r="D6" s="331" t="str">
        <f>_xlfn.IFERROR('Background Calculations'!D199,"")</f>
        <v/>
      </c>
      <c r="E6" s="331" t="str">
        <f>_xlfn.IFERROR('Background Calculations'!D200,"")</f>
        <v/>
      </c>
      <c r="F6" s="331" t="str">
        <f>_xlfn.IFERROR('Background Calculations'!D201,"")</f>
        <v/>
      </c>
      <c r="G6" s="331" t="str">
        <f>_xlfn.IFERROR('Background Calculations'!D202,"")</f>
        <v/>
      </c>
      <c r="H6" s="332" t="str">
        <f>_xlfn.IFERROR('Background Calculations'!D203,"")</f>
        <v/>
      </c>
      <c r="I6" s="605" t="str">
        <f>_xlfn.IFERROR('Background Calculations'!D204,"")</f>
        <v/>
      </c>
      <c r="J6" s="602"/>
      <c r="K6" s="282"/>
    </row>
    <row r="7" spans="1:11" ht="15">
      <c r="A7" s="280"/>
      <c r="B7" s="344"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tr">
        <f>_xlfn.IFERROR('Background Calculations'!G196,"Insufficient effluent N data")</f>
        <v>Avg Effluent TKN (mg/L)</v>
      </c>
      <c r="C8" s="333" t="str">
        <f>_xlfn.IFERROR('Background Calculations'!G197,"")</f>
        <v/>
      </c>
      <c r="D8" s="334" t="str">
        <f>_xlfn.IFERROR('Background Calculations'!G199,"")</f>
        <v/>
      </c>
      <c r="E8" s="334" t="str">
        <f>_xlfn.IFERROR('Background Calculations'!G200,"")</f>
        <v/>
      </c>
      <c r="F8" s="334" t="str">
        <f>_xlfn.IFERROR('Background Calculations'!G201,"")</f>
        <v/>
      </c>
      <c r="G8" s="334" t="str">
        <f>_xlfn.IFERROR('Background Calculations'!G202,"")</f>
        <v/>
      </c>
      <c r="H8" s="335" t="str">
        <f>_xlfn.IFERROR('Background Calculations'!G203,"")</f>
        <v/>
      </c>
      <c r="I8" s="610" t="str">
        <f>_xlfn.IFERROR('Background Calculations'!G204,"")</f>
        <v/>
      </c>
      <c r="J8" s="602"/>
      <c r="K8" s="282"/>
    </row>
    <row r="9" spans="1:11" ht="15">
      <c r="A9" s="280"/>
      <c r="B9" s="34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11"/>
      <c r="J9" s="602"/>
      <c r="K9" s="282"/>
    </row>
    <row r="10" spans="1:11" ht="32.25" customHeight="1">
      <c r="A10" s="280"/>
      <c r="B10" s="261" t="s">
        <v>159</v>
      </c>
      <c r="C10" s="310" t="str">
        <f>_xlfn.IFERROR('Background Calculations'!H197,"")</f>
        <v/>
      </c>
      <c r="D10" s="336" t="str">
        <f>_xlfn.IFERROR('Background Calculations'!H199,"")</f>
        <v/>
      </c>
      <c r="E10" s="336" t="str">
        <f>_xlfn.IFERROR('Background Calculations'!H200,"")</f>
        <v/>
      </c>
      <c r="F10" s="336" t="str">
        <f>_xlfn.IFERROR('Background Calculations'!H201,"")</f>
        <v/>
      </c>
      <c r="G10" s="336" t="str">
        <f>_xlfn.IFERROR('Background Calculations'!H202,"")</f>
        <v/>
      </c>
      <c r="H10" s="337" t="str">
        <f>_xlfn.IFERROR('Background Calculations'!H203,"")</f>
        <v/>
      </c>
      <c r="I10" s="609" t="str">
        <f>_xlfn.IFERROR('Background Calculations'!H204,"")</f>
        <v/>
      </c>
      <c r="J10" s="602"/>
      <c r="K10" s="282"/>
    </row>
    <row r="11" spans="1:11" ht="15">
      <c r="A11" s="280"/>
      <c r="B11" s="344"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188</v>
      </c>
      <c r="C12" s="376" t="str">
        <f aca="true" t="shared" si="0" ref="C12:H12">_xlfn.IFERROR((C6-(C8+C10))/C6,"")</f>
        <v/>
      </c>
      <c r="D12" s="378" t="str">
        <f t="shared" si="0"/>
        <v/>
      </c>
      <c r="E12" s="378" t="str">
        <f t="shared" si="0"/>
        <v/>
      </c>
      <c r="F12" s="378" t="str">
        <f t="shared" si="0"/>
        <v/>
      </c>
      <c r="G12" s="378" t="str">
        <f t="shared" si="0"/>
        <v/>
      </c>
      <c r="H12" s="379" t="str">
        <f t="shared" si="0"/>
        <v/>
      </c>
      <c r="I12" s="610" t="str">
        <f>_xlfn.IFERROR((AVERAGE(D12:H12)-C12)/C12,"")</f>
        <v/>
      </c>
      <c r="J12" s="602"/>
      <c r="K12" s="282"/>
    </row>
    <row r="13" spans="1:11" ht="15" customHeight="1">
      <c r="A13" s="280"/>
      <c r="B13" s="343" t="s">
        <v>187</v>
      </c>
      <c r="C13" s="377" t="str">
        <f>_xlfn.IFERROR('Background Calculations'!I197,"")</f>
        <v/>
      </c>
      <c r="D13" s="380" t="str">
        <f>_xlfn.IFERROR('Background Calculations'!I199,"")</f>
        <v/>
      </c>
      <c r="E13" s="380" t="str">
        <f>_xlfn.IFERROR('Background Calculations'!I200,"")</f>
        <v/>
      </c>
      <c r="F13" s="380" t="str">
        <f>_xlfn.IFERROR('Background Calculations'!I201,"")</f>
        <v/>
      </c>
      <c r="G13" s="380" t="str">
        <f>_xlfn.IFERROR('Background Calculations'!I202,"")</f>
        <v/>
      </c>
      <c r="H13" s="380" t="str">
        <f>_xlfn.IFERROR('Background Calculations'!I203,"")</f>
        <v/>
      </c>
      <c r="I13" s="611"/>
      <c r="J13" s="602"/>
      <c r="K13" s="282"/>
    </row>
    <row r="14" spans="1:11" ht="32.25" customHeight="1">
      <c r="A14" s="280"/>
      <c r="B14" s="262" t="s">
        <v>160</v>
      </c>
      <c r="C14" s="310" t="str">
        <f>_xlfn.IFERROR('Background Calculations'!N197,"")</f>
        <v/>
      </c>
      <c r="D14" s="336" t="str">
        <f>_xlfn.IFERROR('Background Calculations'!N199,"")</f>
        <v/>
      </c>
      <c r="E14" s="336" t="str">
        <f>_xlfn.IFERROR('Background Calculations'!N200,"")</f>
        <v/>
      </c>
      <c r="F14" s="336" t="str">
        <f>_xlfn.IFERROR('Background Calculations'!N201,"")</f>
        <v/>
      </c>
      <c r="G14" s="336" t="str">
        <f>_xlfn.IFERROR('Background Calculations'!N202,"")</f>
        <v/>
      </c>
      <c r="H14" s="337" t="str">
        <f>_xlfn.IFERROR('Background Calculations'!N203,"")</f>
        <v/>
      </c>
      <c r="I14" s="609" t="str">
        <f>_xlfn.IFERROR('Background Calculations'!N204,"")</f>
        <v/>
      </c>
      <c r="J14" s="602"/>
      <c r="K14" s="282"/>
    </row>
    <row r="15" spans="1:11" ht="15">
      <c r="A15" s="280"/>
      <c r="B15" s="344" t="s">
        <v>133</v>
      </c>
      <c r="C15" s="21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161</v>
      </c>
      <c r="C16" s="333" t="str">
        <f>_xlfn.IFERROR('Background Calculations'!O197,"")</f>
        <v/>
      </c>
      <c r="D16" s="334" t="str">
        <f>_xlfn.IFERROR('Background Calculations'!O199,"")</f>
        <v/>
      </c>
      <c r="E16" s="334" t="str">
        <f>_xlfn.IFERROR('Background Calculations'!O200,"")</f>
        <v/>
      </c>
      <c r="F16" s="334" t="str">
        <f>_xlfn.IFERROR('Background Calculations'!O201,"")</f>
        <v/>
      </c>
      <c r="G16" s="334" t="str">
        <f>_xlfn.IFERROR('Background Calculations'!O202,"")</f>
        <v/>
      </c>
      <c r="H16" s="335" t="str">
        <f>_xlfn.IFERROR('Background Calculations'!O203,"")</f>
        <v/>
      </c>
      <c r="I16" s="612" t="str">
        <f>_xlfn.IFERROR('Background Calculations'!O204,"")</f>
        <v/>
      </c>
      <c r="J16" s="627"/>
      <c r="K16" s="282"/>
    </row>
    <row r="17" spans="1:11" ht="15" customHeight="1">
      <c r="A17" s="280"/>
      <c r="B17" s="34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27"/>
      <c r="K17" s="282"/>
    </row>
    <row r="18" spans="1:11" ht="32.25" customHeight="1">
      <c r="A18" s="280"/>
      <c r="B18" s="262" t="s">
        <v>196</v>
      </c>
      <c r="C18" s="381" t="str">
        <f aca="true" t="shared" si="1" ref="C18:H18">_xlfn.IFERROR((C14-C16)/C14,"")</f>
        <v/>
      </c>
      <c r="D18" s="383" t="str">
        <f t="shared" si="1"/>
        <v/>
      </c>
      <c r="E18" s="383" t="str">
        <f t="shared" si="1"/>
        <v/>
      </c>
      <c r="F18" s="383" t="str">
        <f t="shared" si="1"/>
        <v/>
      </c>
      <c r="G18" s="383" t="str">
        <f t="shared" si="1"/>
        <v/>
      </c>
      <c r="H18" s="383" t="str">
        <f t="shared" si="1"/>
        <v/>
      </c>
      <c r="I18" s="609" t="str">
        <f>_xlfn.IFERROR(AVERAGE(D18:H18)/C18-1,"")</f>
        <v/>
      </c>
      <c r="J18" s="281"/>
      <c r="K18" s="282"/>
    </row>
    <row r="19" spans="1:11" ht="15" customHeight="1" thickBot="1">
      <c r="A19" s="280"/>
      <c r="B19" s="448" t="s">
        <v>197</v>
      </c>
      <c r="C19" s="384" t="str">
        <f>_xlfn.IFERROR('Background Calculations'!P197,"")</f>
        <v/>
      </c>
      <c r="D19" s="382" t="str">
        <f>_xlfn.IFERROR('Background Calculations'!P199,"")</f>
        <v/>
      </c>
      <c r="E19" s="382" t="str">
        <f>_xlfn.IFERROR('Background Calculations'!P200,"")</f>
        <v/>
      </c>
      <c r="F19" s="382" t="str">
        <f>_xlfn.IFERROR('Background Calculations'!P201,"")</f>
        <v/>
      </c>
      <c r="G19" s="382" t="str">
        <f>_xlfn.IFERROR('Background Calculations'!P202,"")</f>
        <v/>
      </c>
      <c r="H19" s="382" t="str">
        <f>_xlfn.IFERROR('Background Calculations'!P203,"")</f>
        <v/>
      </c>
      <c r="I19" s="606"/>
      <c r="J19" s="281"/>
      <c r="K19" s="282"/>
    </row>
    <row r="20" spans="1:11" ht="30" customHeight="1" thickBot="1">
      <c r="A20" s="280"/>
      <c r="B20" s="209"/>
      <c r="C20" s="285"/>
      <c r="D20" s="286"/>
      <c r="E20" s="286"/>
      <c r="F20" s="286"/>
      <c r="G20" s="286"/>
      <c r="H20" s="286"/>
      <c r="I20" s="317" t="s">
        <v>184</v>
      </c>
      <c r="J20" s="281"/>
      <c r="K20" s="282"/>
    </row>
    <row r="21" spans="1:11" ht="30" customHeight="1">
      <c r="A21" s="280"/>
      <c r="B21" s="319" t="s">
        <v>182</v>
      </c>
      <c r="C21" s="320" t="s">
        <v>134</v>
      </c>
      <c r="D21" s="371" t="str">
        <f>_xlfn.IFERROR(D12/C12-1,"")</f>
        <v/>
      </c>
      <c r="E21" s="371" t="str">
        <f>_xlfn.IFERROR(E12/C12-1,"")</f>
        <v/>
      </c>
      <c r="F21" s="371" t="str">
        <f>_xlfn.IFERROR(F12/C12-1,"")</f>
        <v/>
      </c>
      <c r="G21" s="371" t="str">
        <f>_xlfn.IFERROR(G12/C12-1,"")</f>
        <v/>
      </c>
      <c r="H21" s="385" t="str">
        <f>_xlfn.IFERROR(H12/C12-1,"")</f>
        <v/>
      </c>
      <c r="I21" s="318">
        <f>'Background Calculations'!K204</f>
        <v>0</v>
      </c>
      <c r="J21" s="281"/>
      <c r="K21" s="282"/>
    </row>
    <row r="22" spans="1:11" ht="30" customHeight="1" thickBot="1">
      <c r="A22" s="280"/>
      <c r="B22" s="321" t="s">
        <v>183</v>
      </c>
      <c r="C22" s="322" t="s">
        <v>134</v>
      </c>
      <c r="D22" s="372" t="str">
        <f>_xlfn.IFERROR(D18/C18-1,"")</f>
        <v/>
      </c>
      <c r="E22" s="372" t="str">
        <f>_xlfn.IFERROR(E18/C18-1,"")</f>
        <v/>
      </c>
      <c r="F22" s="372" t="str">
        <f>_xlfn.IFERROR(F18/C18-1,"")</f>
        <v/>
      </c>
      <c r="G22" s="372" t="str">
        <f>_xlfn.IFERROR(G18/C18-1,"")</f>
        <v/>
      </c>
      <c r="H22" s="386" t="str">
        <f>_xlfn.IFERROR(H18/C18-1,"")</f>
        <v/>
      </c>
      <c r="I22" s="375">
        <f>'Background Calculations'!Q204</f>
        <v>0</v>
      </c>
      <c r="J22" s="281"/>
      <c r="K22" s="282"/>
    </row>
    <row r="23" spans="1:11" ht="29.25" customHeight="1"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124" activePane="bottomLeft" state="frozen"/>
      <selection pane="bottomLeft" activeCell="M150" sqref="M150"/>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7" t="s">
        <v>189</v>
      </c>
      <c r="M3" s="387" t="s">
        <v>190</v>
      </c>
      <c r="N3" s="53" t="s">
        <v>66</v>
      </c>
      <c r="O3" s="53" t="s">
        <v>60</v>
      </c>
      <c r="P3" s="53" t="s">
        <v>61</v>
      </c>
      <c r="Q3" s="53" t="s">
        <v>105</v>
      </c>
      <c r="R3" s="53" t="s">
        <v>200</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42948</v>
      </c>
      <c r="C4" s="80" t="str">
        <f>IF(OR('Process Data Entry'!C6="",'Process Data Entry'!C6=0),"",'Process Data Entry'!C6)</f>
        <v/>
      </c>
      <c r="D4" s="81" t="str">
        <f>IF(Table4[[#This Row],[Avg Daily Flow]]="","",_xlfn.DAYS(EOMONTH(B4,0),EOMONTH(B4,-1))*C4)</f>
        <v/>
      </c>
      <c r="E4" s="81" t="str">
        <f>IF('Process Data Entry'!F6="","",'Process Data Entry'!F6)</f>
        <v/>
      </c>
      <c r="F4" s="82" t="str">
        <f>IF(Table4[[#This Row],[BOD removed]]="","",Table4[[#This Row],[BOD removed]]*_xlfn.DAYS(EOMONTH(Table4[[#This Row],[Column2]],0),EOMONTH(Table4[[#This Row],[Column2]],-1)))</f>
        <v/>
      </c>
      <c r="G4" s="83" t="str">
        <f>IF(SUM('Energy Data Entry'!C25,'Energy Data Entry'!H25,'Energy Data Entry'!M25,'Energy Data Entry'!R25,'Energy Data Entry'!W25)=0,"",SUM('Energy Data Entry'!C25,'Energy Data Entry'!H25,'Energy Data Entry'!M25,'Energy Data Entry'!R25,'Energy Data Entry'!W25))</f>
        <v/>
      </c>
      <c r="H4" s="83">
        <f>'Energy Data Entry'!AG25</f>
        <v>0</v>
      </c>
      <c r="I4" s="83" t="str">
        <f>IF(Table4[[#This Row],[Electric kWh usage]]="","",Table4[[#This Row],[Gas kWh usage]]+Table4[[#This Row],[Electric kWh usage]])</f>
        <v/>
      </c>
      <c r="J4" s="82" t="str">
        <f>IF(OR(Table4[[#This Row],[Electric kWh usage]]="",Table4[[#This Row],[Monthly Flow]]=""),"",(Table4[[#This Row],[Electric kWh usage]]+Table4[[#This Row],[Gas kWh usage]])/Table4[[#This Row],[Monthly Flow]])</f>
        <v/>
      </c>
      <c r="K4" s="84" t="str">
        <f>_xlfn.IFERROR(IF(Table4[[#This Row],[Electric kWh usage]]="","",(Table4[[#This Row],[Electric kWh usage]]+Table4[[#This Row],[Gas kWh usage]])/Table4[[#This Row],[Total BOD removed]]),"")</f>
        <v/>
      </c>
      <c r="L4" s="83" t="str">
        <f>IF('Energy Data Entry'!E25+'Energy Data Entry'!J25+'Energy Data Entry'!O25+'Energy Data Entry'!T25+'Energy Data Entry'!Y25=0,"",'Energy Data Entry'!E25+'Energy Data Entry'!J25+'Energy Data Entry'!O25+'Energy Data Entry'!T25+'Energy Data Entry'!Y25)</f>
        <v/>
      </c>
      <c r="M4" s="83" t="str">
        <f>IF('Energy Data Entry'!F25+'Energy Data Entry'!K25+'Energy Data Entry'!P25++'Energy Data Entry'!U25+'Energy Data Entry'!Z25=0,"",'Energy Data Entry'!F25+'Energy Data Entry'!K25+'Energy Data Entry'!P25++'Energy Data Entry'!U25+'Energy Data Entry'!Z25)</f>
        <v/>
      </c>
      <c r="N4" s="85" t="str">
        <f>IF('Energy Data Entry'!G25+'Energy Data Entry'!L25+'Energy Data Entry'!Q25+'Energy Data Entry'!V25+'Energy Data Entry'!AA25=0,"",'Energy Data Entry'!G25+'Energy Data Entry'!L25+'Energy Data Entry'!Q25+'Energy Data Entry'!V25+'Energy Data Entry'!AA25)</f>
        <v/>
      </c>
      <c r="O4" s="85" t="str">
        <f>IF('Energy Data Entry'!D25+'Energy Data Entry'!I25+'Energy Data Entry'!N25+'Energy Data Entry'!S25+'Energy Data Entry'!X25=0,"",'Energy Data Entry'!D25+'Energy Data Entry'!I25+'Energy Data Entry'!N25+'Energy Data Entry'!S25+'Energy Data Entry'!X25)</f>
        <v/>
      </c>
      <c r="P4" s="412">
        <f>'Energy Data Entry'!AF25</f>
        <v>0</v>
      </c>
      <c r="Q4" s="151" t="str">
        <f>_xlfn.IFERROR(Table4[[#This Row],[Total electric cost]]/Table4[[#This Row],[Electric kWh usage]],"")</f>
        <v/>
      </c>
      <c r="R4" s="151" t="str">
        <f>_xlfn.IFERROR(Table4[[#This Row],[Electric Demand Cost]]/Table4[[#This Row],[Total Electric Demand (Billed)]],_xlfn.IFERROR(Table4[[#This Row],[Electric Demand Cost]]/Table4[[#This Row],[Total Electric Demand (Actual)]],""))</f>
        <v/>
      </c>
      <c r="S4" s="85" t="str">
        <f>_xlfn.IFERROR(Table4[[#This Row],[Total Gas cost]]+Table4[[#This Row],[Total electric cost]],"")</f>
        <v/>
      </c>
      <c r="T4" s="111"/>
      <c r="U4" s="85" t="str">
        <f>_xlfn.IFERROR(Table4[[#This Row],[Total Energy Cost]]/Table4[[#This Row],[Monthly Flow]],"")</f>
        <v/>
      </c>
      <c r="V4" s="85" t="str">
        <f>_xlfn.IFERROR(Table4[[#This Row],[Total Energy Cost]]/Table4[[#This Row],[Total BOD removed]],"")</f>
        <v/>
      </c>
      <c r="W4" s="116"/>
      <c r="X4" s="86" t="str">
        <f>IF('Process Data Entry'!G6="","",'Process Data Entry'!G6)</f>
        <v/>
      </c>
      <c r="Y4" s="86" t="str">
        <f>IF('Process Data Entry'!H6="","",'Process Data Entry'!H6)</f>
        <v/>
      </c>
      <c r="Z4" s="86">
        <f>IF('Process Data Entry'!I6="",0,'Process Data Entry'!I6)</f>
        <v>0</v>
      </c>
      <c r="AA4" s="86" t="str">
        <f>IF('Process Data Entry'!J6="","",'Process Data Entry'!J6)</f>
        <v/>
      </c>
      <c r="AB4" s="86" t="str">
        <f>IF('Process Data Entry'!K6="","",'Process Data Entry'!K6)</f>
        <v/>
      </c>
      <c r="AC4" s="86" t="str">
        <f>IF('Process Data Entry'!L6="","",'Process Data Entry'!L6)</f>
        <v/>
      </c>
      <c r="AD4" s="87" t="str">
        <f aca="true" t="shared" si="0" ref="AD4:AD35">_xlfn.IFERROR(IF(OR(X4="",AC4="",AND(AA4="",AB4=""),((X4+Z4)-(MAX(AA4,AB4)+AC4))&lt;0),"",(X4+Z4)-(MAX(AA4,AB4)+AC4)),"")</f>
        <v/>
      </c>
      <c r="AE4" s="87" t="str">
        <f aca="true" t="shared" si="1" ref="AE4:AE35">IF(OR(AD4="",D4=""),"",AD4*D4*8.34)</f>
        <v/>
      </c>
      <c r="AF4" s="150" t="str">
        <f>IF('Process Data Entry'!M6="","",'Process Data Entry'!M6)</f>
        <v/>
      </c>
      <c r="AG4" s="150" t="str">
        <f>IF('Process Data Entry'!N6="","",'Process Data Entry'!N6)</f>
        <v/>
      </c>
      <c r="AH4" s="81" t="str">
        <f aca="true" t="shared" si="2" ref="AH4:AH35">IF(OR(AF4="",AG4="",D4=""),"",8.34*D4*(AF4-AG4))</f>
        <v/>
      </c>
    </row>
    <row r="5" spans="1:34" ht="15">
      <c r="A5" s="78">
        <v>1</v>
      </c>
      <c r="B5" s="79">
        <f>'Energy Data Entry'!B26</f>
        <v>42979</v>
      </c>
      <c r="C5" s="80" t="str">
        <f>IF(OR('Process Data Entry'!C7="",'Process Data Entry'!C7=0),"",'Process Data Entry'!C7)</f>
        <v/>
      </c>
      <c r="D5" s="81" t="str">
        <f>IF(Table4[[#This Row],[Avg Daily Flow]]="","",_xlfn.DAYS(EOMONTH(B5,0),EOMONTH(B5,-1))*C5)</f>
        <v/>
      </c>
      <c r="E5" s="81" t="str">
        <f>IF('Process Data Entry'!F7="","",'Process Data Entry'!F7)</f>
        <v/>
      </c>
      <c r="F5" s="82" t="str">
        <f>IF(Table4[[#This Row],[BOD removed]]="","",Table4[[#This Row],[BOD removed]]*_xlfn.DAYS(EOMONTH(Table4[[#This Row],[Column2]],0),EOMONTH(Table4[[#This Row],[Column2]],-1)))</f>
        <v/>
      </c>
      <c r="G5" s="83" t="str">
        <f>IF(SUM('Energy Data Entry'!C26,'Energy Data Entry'!H26,'Energy Data Entry'!M26,'Energy Data Entry'!R26,'Energy Data Entry'!W26)=0,"",SUM('Energy Data Entry'!C26,'Energy Data Entry'!H26,'Energy Data Entry'!M26,'Energy Data Entry'!R26,'Energy Data Entry'!W26))</f>
        <v/>
      </c>
      <c r="H5" s="83">
        <f>'Energy Data Entry'!AG26</f>
        <v>0</v>
      </c>
      <c r="I5" s="83" t="str">
        <f>IF(Table4[[#This Row],[Electric kWh usage]]="","",Table4[[#This Row],[Gas kWh usage]]+Table4[[#This Row],[Electric kWh usage]])</f>
        <v/>
      </c>
      <c r="J5" s="82" t="str">
        <f>IF(OR(Table4[[#This Row],[Electric kWh usage]]="",Table4[[#This Row],[Monthly Flow]]=""),"",(Table4[[#This Row],[Electric kWh usage]]+Table4[[#This Row],[Gas kWh usage]])/Table4[[#This Row],[Monthly Flow]])</f>
        <v/>
      </c>
      <c r="K5" s="84" t="str">
        <f>_xlfn.IFERROR(IF(Table4[[#This Row],[Electric kWh usage]]="","",(Table4[[#This Row],[Electric kWh usage]]+Table4[[#This Row],[Gas kWh usage]])/Table4[[#This Row],[Total BOD removed]]),"")</f>
        <v/>
      </c>
      <c r="L5" s="83" t="str">
        <f>IF('Energy Data Entry'!E26+'Energy Data Entry'!J26+'Energy Data Entry'!O26+'Energy Data Entry'!T26+'Energy Data Entry'!Y26=0,"",'Energy Data Entry'!E26+'Energy Data Entry'!J26+'Energy Data Entry'!O26+'Energy Data Entry'!T26+'Energy Data Entry'!Y26)</f>
        <v/>
      </c>
      <c r="M5" s="83" t="str">
        <f>IF('Energy Data Entry'!F26+'Energy Data Entry'!K26+'Energy Data Entry'!P26++'Energy Data Entry'!U26+'Energy Data Entry'!Z26=0,"",'Energy Data Entry'!F26+'Energy Data Entry'!K26+'Energy Data Entry'!P26++'Energy Data Entry'!U26+'Energy Data Entry'!Z26)</f>
        <v/>
      </c>
      <c r="N5" s="85" t="str">
        <f>IF('Energy Data Entry'!G26+'Energy Data Entry'!L26+'Energy Data Entry'!Q26+'Energy Data Entry'!V26+'Energy Data Entry'!AA26=0,"",'Energy Data Entry'!G26+'Energy Data Entry'!L26+'Energy Data Entry'!Q26+'Energy Data Entry'!V26+'Energy Data Entry'!AA26)</f>
        <v/>
      </c>
      <c r="O5" s="85" t="str">
        <f>IF('Energy Data Entry'!D26+'Energy Data Entry'!I26+'Energy Data Entry'!N26+'Energy Data Entry'!S26+'Energy Data Entry'!X26=0,"",'Energy Data Entry'!D26+'Energy Data Entry'!I26+'Energy Data Entry'!N26+'Energy Data Entry'!S26+'Energy Data Entry'!X26)</f>
        <v/>
      </c>
      <c r="P5" s="412">
        <f>'Energy Data Entry'!AF26</f>
        <v>0</v>
      </c>
      <c r="Q5" s="151" t="str">
        <f>_xlfn.IFERROR(Table4[[#This Row],[Total electric cost]]/Table4[[#This Row],[Electric kWh usage]],"")</f>
        <v/>
      </c>
      <c r="R5" s="151" t="str">
        <f>_xlfn.IFERROR(Table4[[#This Row],[Electric Demand Cost]]/Table4[[#This Row],[Total Electric Demand (Billed)]],_xlfn.IFERROR(Table4[[#This Row],[Electric Demand Cost]]/Table4[[#This Row],[Total Electric Demand (Actual)]],""))</f>
        <v/>
      </c>
      <c r="S5" s="85" t="str">
        <f>_xlfn.IFERROR(Table4[[#This Row],[Total Gas cost]]+Table4[[#This Row],[Total electric cost]],"")</f>
        <v/>
      </c>
      <c r="T5" s="111"/>
      <c r="U5" s="85" t="str">
        <f>_xlfn.IFERROR(Table4[[#This Row],[Total Energy Cost]]/Table4[[#This Row],[Monthly Flow]],"")</f>
        <v/>
      </c>
      <c r="V5" s="85" t="str">
        <f>_xlfn.IFERROR(Table4[[#This Row],[Total Energy Cost]]/Table4[[#This Row],[Total BOD removed]],"")</f>
        <v/>
      </c>
      <c r="W5" s="116"/>
      <c r="X5" s="86" t="str">
        <f>IF('Process Data Entry'!G7="","",'Process Data Entry'!G7)</f>
        <v/>
      </c>
      <c r="Y5" s="86" t="str">
        <f>IF('Process Data Entry'!H7="","",'Process Data Entry'!H7)</f>
        <v/>
      </c>
      <c r="Z5" s="86">
        <f>IF('Process Data Entry'!I7="",0,'Process Data Entry'!I7)</f>
        <v>0</v>
      </c>
      <c r="AA5" s="86" t="str">
        <f>IF('Process Data Entry'!J7="","",'Process Data Entry'!J7)</f>
        <v/>
      </c>
      <c r="AB5" s="86" t="str">
        <f>IF('Process Data Entry'!K7="","",'Process Data Entry'!K7)</f>
        <v/>
      </c>
      <c r="AC5" s="86" t="str">
        <f>IF('Process Data Entry'!L7="","",'Process Data Entry'!L7)</f>
        <v/>
      </c>
      <c r="AD5" s="87" t="str">
        <f t="shared" si="0"/>
        <v/>
      </c>
      <c r="AE5" s="87" t="str">
        <f t="shared" si="1"/>
        <v/>
      </c>
      <c r="AF5" s="150" t="str">
        <f>IF('Process Data Entry'!M7="","",'Process Data Entry'!M7)</f>
        <v/>
      </c>
      <c r="AG5" s="150" t="str">
        <f>IF('Process Data Entry'!N7="","",'Process Data Entry'!N7)</f>
        <v/>
      </c>
      <c r="AH5" s="81" t="str">
        <f t="shared" si="2"/>
        <v/>
      </c>
    </row>
    <row r="6" spans="1:34" ht="15">
      <c r="A6" s="78">
        <v>1</v>
      </c>
      <c r="B6" s="79">
        <f>'Energy Data Entry'!B27</f>
        <v>43009</v>
      </c>
      <c r="C6" s="80" t="str">
        <f>IF(OR('Process Data Entry'!C8="",'Process Data Entry'!C8=0),"",'Process Data Entry'!C8)</f>
        <v/>
      </c>
      <c r="D6" s="81" t="str">
        <f>IF(Table4[[#This Row],[Avg Daily Flow]]="","",_xlfn.DAYS(EOMONTH(B6,0),EOMONTH(B6,-1))*C6)</f>
        <v/>
      </c>
      <c r="E6" s="81" t="str">
        <f>IF('Process Data Entry'!F8="","",'Process Data Entry'!F8)</f>
        <v/>
      </c>
      <c r="F6" s="82" t="str">
        <f>IF(Table4[[#This Row],[BOD removed]]="","",Table4[[#This Row],[BOD removed]]*_xlfn.DAYS(EOMONTH(Table4[[#This Row],[Column2]],0),EOMONTH(Table4[[#This Row],[Column2]],-1)))</f>
        <v/>
      </c>
      <c r="G6" s="83" t="str">
        <f>IF(SUM('Energy Data Entry'!C27,'Energy Data Entry'!H27,'Energy Data Entry'!M27,'Energy Data Entry'!R27,'Energy Data Entry'!W27)=0,"",SUM('Energy Data Entry'!C27,'Energy Data Entry'!H27,'Energy Data Entry'!M27,'Energy Data Entry'!R27,'Energy Data Entry'!W27))</f>
        <v/>
      </c>
      <c r="H6" s="83">
        <f>'Energy Data Entry'!AG27</f>
        <v>0</v>
      </c>
      <c r="I6" s="83" t="str">
        <f>IF(Table4[[#This Row],[Electric kWh usage]]="","",Table4[[#This Row],[Gas kWh usage]]+Table4[[#This Row],[Electric kWh usage]])</f>
        <v/>
      </c>
      <c r="J6" s="82" t="str">
        <f>IF(OR(Table4[[#This Row],[Electric kWh usage]]="",Table4[[#This Row],[Monthly Flow]]=""),"",(Table4[[#This Row],[Electric kWh usage]]+Table4[[#This Row],[Gas kWh usage]])/Table4[[#This Row],[Monthly Flow]])</f>
        <v/>
      </c>
      <c r="K6" s="84" t="str">
        <f>_xlfn.IFERROR(IF(Table4[[#This Row],[Electric kWh usage]]="","",(Table4[[#This Row],[Electric kWh usage]]+Table4[[#This Row],[Gas kWh usage]])/Table4[[#This Row],[Total BOD removed]]),"")</f>
        <v/>
      </c>
      <c r="L6" s="83" t="str">
        <f>IF('Energy Data Entry'!E27+'Energy Data Entry'!J27+'Energy Data Entry'!O27+'Energy Data Entry'!T27+'Energy Data Entry'!Y27=0,"",'Energy Data Entry'!E27+'Energy Data Entry'!J27+'Energy Data Entry'!O27+'Energy Data Entry'!T27+'Energy Data Entry'!Y27)</f>
        <v/>
      </c>
      <c r="M6" s="83" t="str">
        <f>IF('Energy Data Entry'!F27+'Energy Data Entry'!K27+'Energy Data Entry'!P27++'Energy Data Entry'!U27+'Energy Data Entry'!Z27=0,"",'Energy Data Entry'!F27+'Energy Data Entry'!K27+'Energy Data Entry'!P27++'Energy Data Entry'!U27+'Energy Data Entry'!Z27)</f>
        <v/>
      </c>
      <c r="N6" s="85" t="str">
        <f>IF('Energy Data Entry'!G27+'Energy Data Entry'!L27+'Energy Data Entry'!Q27+'Energy Data Entry'!V27+'Energy Data Entry'!AA27=0,"",'Energy Data Entry'!G27+'Energy Data Entry'!L27+'Energy Data Entry'!Q27+'Energy Data Entry'!V27+'Energy Data Entry'!AA27)</f>
        <v/>
      </c>
      <c r="O6" s="85" t="str">
        <f>IF('Energy Data Entry'!D27+'Energy Data Entry'!I27+'Energy Data Entry'!N27+'Energy Data Entry'!S27+'Energy Data Entry'!X27=0,"",'Energy Data Entry'!D27+'Energy Data Entry'!I27+'Energy Data Entry'!N27+'Energy Data Entry'!S27+'Energy Data Entry'!X27)</f>
        <v/>
      </c>
      <c r="P6" s="412">
        <f>'Energy Data Entry'!AF27</f>
        <v>0</v>
      </c>
      <c r="Q6" s="151" t="str">
        <f>_xlfn.IFERROR(Table4[[#This Row],[Total electric cost]]/Table4[[#This Row],[Electric kWh usage]],"")</f>
        <v/>
      </c>
      <c r="R6" s="151" t="str">
        <f>_xlfn.IFERROR(Table4[[#This Row],[Electric Demand Cost]]/Table4[[#This Row],[Total Electric Demand (Billed)]],_xlfn.IFERROR(Table4[[#This Row],[Electric Demand Cost]]/Table4[[#This Row],[Total Electric Demand (Actual)]],""))</f>
        <v/>
      </c>
      <c r="S6" s="85" t="str">
        <f>_xlfn.IFERROR(Table4[[#This Row],[Total Gas cost]]+Table4[[#This Row],[Total electric cost]],"")</f>
        <v/>
      </c>
      <c r="T6" s="111"/>
      <c r="U6" s="85" t="str">
        <f>_xlfn.IFERROR(Table4[[#This Row],[Total Energy Cost]]/Table4[[#This Row],[Monthly Flow]],"")</f>
        <v/>
      </c>
      <c r="V6" s="85" t="str">
        <f>_xlfn.IFERROR(Table4[[#This Row],[Total Energy Cost]]/Table4[[#This Row],[Total BOD removed]],"")</f>
        <v/>
      </c>
      <c r="W6" s="116"/>
      <c r="X6" s="86" t="str">
        <f>IF('Process Data Entry'!G8="","",'Process Data Entry'!G8)</f>
        <v/>
      </c>
      <c r="Y6" s="86" t="str">
        <f>IF('Process Data Entry'!H8="","",'Process Data Entry'!H8)</f>
        <v/>
      </c>
      <c r="Z6" s="86">
        <f>IF('Process Data Entry'!I8="",0,'Process Data Entry'!I8)</f>
        <v>0</v>
      </c>
      <c r="AA6" s="86" t="str">
        <f>IF('Process Data Entry'!J8="","",'Process Data Entry'!J8)</f>
        <v/>
      </c>
      <c r="AB6" s="86" t="str">
        <f>IF('Process Data Entry'!K8="","",'Process Data Entry'!K8)</f>
        <v/>
      </c>
      <c r="AC6" s="86" t="str">
        <f>IF('Process Data Entry'!L8="","",'Process Data Entry'!L8)</f>
        <v/>
      </c>
      <c r="AD6" s="87" t="str">
        <f t="shared" si="0"/>
        <v/>
      </c>
      <c r="AE6" s="87" t="str">
        <f t="shared" si="1"/>
        <v/>
      </c>
      <c r="AF6" s="150" t="str">
        <f>IF('Process Data Entry'!M8="","",'Process Data Entry'!M8)</f>
        <v/>
      </c>
      <c r="AG6" s="150" t="str">
        <f>IF('Process Data Entry'!N8="","",'Process Data Entry'!N8)</f>
        <v/>
      </c>
      <c r="AH6" s="81" t="str">
        <f t="shared" si="2"/>
        <v/>
      </c>
    </row>
    <row r="7" spans="1:34" ht="15">
      <c r="A7" s="78">
        <v>1</v>
      </c>
      <c r="B7" s="79">
        <f>'Energy Data Entry'!B28</f>
        <v>43040</v>
      </c>
      <c r="C7" s="80" t="str">
        <f>IF(OR('Process Data Entry'!C9="",'Process Data Entry'!C9=0),"",'Process Data Entry'!C9)</f>
        <v/>
      </c>
      <c r="D7" s="81" t="str">
        <f>IF(Table4[[#This Row],[Avg Daily Flow]]="","",_xlfn.DAYS(EOMONTH(B7,0),EOMONTH(B7,-1))*C7)</f>
        <v/>
      </c>
      <c r="E7" s="81" t="str">
        <f>IF('Process Data Entry'!F9="","",'Process Data Entry'!F9)</f>
        <v/>
      </c>
      <c r="F7" s="82" t="str">
        <f>IF(Table4[[#This Row],[BOD removed]]="","",Table4[[#This Row],[BOD removed]]*_xlfn.DAYS(EOMONTH(Table4[[#This Row],[Column2]],0),EOMONTH(Table4[[#This Row],[Column2]],-1)))</f>
        <v/>
      </c>
      <c r="G7" s="83" t="str">
        <f>IF(SUM('Energy Data Entry'!C28,'Energy Data Entry'!H28,'Energy Data Entry'!M28,'Energy Data Entry'!R28,'Energy Data Entry'!W28)=0,"",SUM('Energy Data Entry'!C28,'Energy Data Entry'!H28,'Energy Data Entry'!M28,'Energy Data Entry'!R28,'Energy Data Entry'!W28))</f>
        <v/>
      </c>
      <c r="H7" s="83">
        <f>'Energy Data Entry'!AG28</f>
        <v>0</v>
      </c>
      <c r="I7" s="83" t="str">
        <f>IF(Table4[[#This Row],[Electric kWh usage]]="","",Table4[[#This Row],[Gas kWh usage]]+Table4[[#This Row],[Electric kWh usage]])</f>
        <v/>
      </c>
      <c r="J7" s="82" t="str">
        <f>IF(OR(Table4[[#This Row],[Electric kWh usage]]="",Table4[[#This Row],[Monthly Flow]]=""),"",(Table4[[#This Row],[Electric kWh usage]]+Table4[[#This Row],[Gas kWh usage]])/Table4[[#This Row],[Monthly Flow]])</f>
        <v/>
      </c>
      <c r="K7" s="84" t="str">
        <f>_xlfn.IFERROR(IF(Table4[[#This Row],[Electric kWh usage]]="","",(Table4[[#This Row],[Electric kWh usage]]+Table4[[#This Row],[Gas kWh usage]])/Table4[[#This Row],[Total BOD removed]]),"")</f>
        <v/>
      </c>
      <c r="L7" s="83" t="str">
        <f>IF('Energy Data Entry'!E28+'Energy Data Entry'!J28+'Energy Data Entry'!O28+'Energy Data Entry'!T28+'Energy Data Entry'!Y28=0,"",'Energy Data Entry'!E28+'Energy Data Entry'!J28+'Energy Data Entry'!O28+'Energy Data Entry'!T28+'Energy Data Entry'!Y28)</f>
        <v/>
      </c>
      <c r="M7" s="83" t="str">
        <f>IF('Energy Data Entry'!F28+'Energy Data Entry'!K28+'Energy Data Entry'!P28++'Energy Data Entry'!U28+'Energy Data Entry'!Z28=0,"",'Energy Data Entry'!F28+'Energy Data Entry'!K28+'Energy Data Entry'!P28++'Energy Data Entry'!U28+'Energy Data Entry'!Z28)</f>
        <v/>
      </c>
      <c r="N7" s="85" t="str">
        <f>IF('Energy Data Entry'!G28+'Energy Data Entry'!L28+'Energy Data Entry'!Q28+'Energy Data Entry'!V28+'Energy Data Entry'!AA28=0,"",'Energy Data Entry'!G28+'Energy Data Entry'!L28+'Energy Data Entry'!Q28+'Energy Data Entry'!V28+'Energy Data Entry'!AA28)</f>
        <v/>
      </c>
      <c r="O7" s="85" t="str">
        <f>IF('Energy Data Entry'!D28+'Energy Data Entry'!I28+'Energy Data Entry'!N28+'Energy Data Entry'!S28+'Energy Data Entry'!X28=0,"",'Energy Data Entry'!D28+'Energy Data Entry'!I28+'Energy Data Entry'!N28+'Energy Data Entry'!S28+'Energy Data Entry'!X28)</f>
        <v/>
      </c>
      <c r="P7" s="412">
        <f>'Energy Data Entry'!AF28</f>
        <v>0</v>
      </c>
      <c r="Q7" s="151" t="str">
        <f>_xlfn.IFERROR(Table4[[#This Row],[Total electric cost]]/Table4[[#This Row],[Electric kWh usage]],"")</f>
        <v/>
      </c>
      <c r="R7" s="151" t="str">
        <f>_xlfn.IFERROR(Table4[[#This Row],[Electric Demand Cost]]/Table4[[#This Row],[Total Electric Demand (Billed)]],_xlfn.IFERROR(Table4[[#This Row],[Electric Demand Cost]]/Table4[[#This Row],[Total Electric Demand (Actual)]],""))</f>
        <v/>
      </c>
      <c r="S7" s="85" t="str">
        <f>_xlfn.IFERROR(Table4[[#This Row],[Total Gas cost]]+Table4[[#This Row],[Total electric cost]],"")</f>
        <v/>
      </c>
      <c r="T7" s="111"/>
      <c r="U7" s="85" t="str">
        <f>_xlfn.IFERROR(Table4[[#This Row],[Total Energy Cost]]/Table4[[#This Row],[Monthly Flow]],"")</f>
        <v/>
      </c>
      <c r="V7" s="85" t="str">
        <f>_xlfn.IFERROR(Table4[[#This Row],[Total Energy Cost]]/Table4[[#This Row],[Total BOD removed]],"")</f>
        <v/>
      </c>
      <c r="W7" s="116"/>
      <c r="X7" s="86" t="str">
        <f>IF('Process Data Entry'!G9="","",'Process Data Entry'!G9)</f>
        <v/>
      </c>
      <c r="Y7" s="86" t="str">
        <f>IF('Process Data Entry'!H9="","",'Process Data Entry'!H9)</f>
        <v/>
      </c>
      <c r="Z7" s="86">
        <f>IF('Process Data Entry'!I9="",0,'Process Data Entry'!I9)</f>
        <v>0</v>
      </c>
      <c r="AA7" s="86" t="str">
        <f>IF('Process Data Entry'!J9="","",'Process Data Entry'!J9)</f>
        <v/>
      </c>
      <c r="AB7" s="86" t="str">
        <f>IF('Process Data Entry'!K9="","",'Process Data Entry'!K9)</f>
        <v/>
      </c>
      <c r="AC7" s="86" t="str">
        <f>IF('Process Data Entry'!L9="","",'Process Data Entry'!L9)</f>
        <v/>
      </c>
      <c r="AD7" s="87" t="str">
        <f t="shared" si="0"/>
        <v/>
      </c>
      <c r="AE7" s="87" t="str">
        <f t="shared" si="1"/>
        <v/>
      </c>
      <c r="AF7" s="150" t="str">
        <f>IF('Process Data Entry'!M9="","",'Process Data Entry'!M9)</f>
        <v/>
      </c>
      <c r="AG7" s="150" t="str">
        <f>IF('Process Data Entry'!N9="","",'Process Data Entry'!N9)</f>
        <v/>
      </c>
      <c r="AH7" s="81" t="str">
        <f t="shared" si="2"/>
        <v/>
      </c>
    </row>
    <row r="8" spans="1:34" ht="15">
      <c r="A8" s="78">
        <v>1</v>
      </c>
      <c r="B8" s="79">
        <f>'Energy Data Entry'!B29</f>
        <v>43070</v>
      </c>
      <c r="C8" s="80" t="str">
        <f>IF(OR('Process Data Entry'!C10="",'Process Data Entry'!C10=0),"",'Process Data Entry'!C10)</f>
        <v/>
      </c>
      <c r="D8" s="81" t="str">
        <f>IF(Table4[[#This Row],[Avg Daily Flow]]="","",_xlfn.DAYS(EOMONTH(B8,0),EOMONTH(B8,-1))*C8)</f>
        <v/>
      </c>
      <c r="E8" s="81" t="str">
        <f>IF('Process Data Entry'!F10="","",'Process Data Entry'!F10)</f>
        <v/>
      </c>
      <c r="F8" s="82" t="str">
        <f>IF(Table4[[#This Row],[BOD removed]]="","",Table4[[#This Row],[BOD removed]]*_xlfn.DAYS(EOMONTH(Table4[[#This Row],[Column2]],0),EOMONTH(Table4[[#This Row],[Column2]],-1)))</f>
        <v/>
      </c>
      <c r="G8" s="83" t="str">
        <f>IF(SUM('Energy Data Entry'!C29,'Energy Data Entry'!H29,'Energy Data Entry'!M29,'Energy Data Entry'!R29,'Energy Data Entry'!W29)=0,"",SUM('Energy Data Entry'!C29,'Energy Data Entry'!H29,'Energy Data Entry'!M29,'Energy Data Entry'!R29,'Energy Data Entry'!W29))</f>
        <v/>
      </c>
      <c r="H8" s="83">
        <f>'Energy Data Entry'!AG29</f>
        <v>0</v>
      </c>
      <c r="I8" s="83" t="str">
        <f>IF(Table4[[#This Row],[Electric kWh usage]]="","",Table4[[#This Row],[Gas kWh usage]]+Table4[[#This Row],[Electric kWh usage]])</f>
        <v/>
      </c>
      <c r="J8" s="82" t="str">
        <f>IF(OR(Table4[[#This Row],[Electric kWh usage]]="",Table4[[#This Row],[Monthly Flow]]=""),"",(Table4[[#This Row],[Electric kWh usage]]+Table4[[#This Row],[Gas kWh usage]])/Table4[[#This Row],[Monthly Flow]])</f>
        <v/>
      </c>
      <c r="K8" s="84" t="str">
        <f>_xlfn.IFERROR(IF(Table4[[#This Row],[Electric kWh usage]]="","",(Table4[[#This Row],[Electric kWh usage]]+Table4[[#This Row],[Gas kWh usage]])/Table4[[#This Row],[Total BOD removed]]),"")</f>
        <v/>
      </c>
      <c r="L8" s="83" t="str">
        <f>IF('Energy Data Entry'!E29+'Energy Data Entry'!J29+'Energy Data Entry'!O29+'Energy Data Entry'!T29+'Energy Data Entry'!Y29=0,"",'Energy Data Entry'!E29+'Energy Data Entry'!J29+'Energy Data Entry'!O29+'Energy Data Entry'!T29+'Energy Data Entry'!Y29)</f>
        <v/>
      </c>
      <c r="M8" s="83" t="str">
        <f>IF('Energy Data Entry'!F29+'Energy Data Entry'!K29+'Energy Data Entry'!P29++'Energy Data Entry'!U29+'Energy Data Entry'!Z29=0,"",'Energy Data Entry'!F29+'Energy Data Entry'!K29+'Energy Data Entry'!P29++'Energy Data Entry'!U29+'Energy Data Entry'!Z29)</f>
        <v/>
      </c>
      <c r="N8" s="85" t="str">
        <f>IF('Energy Data Entry'!G29+'Energy Data Entry'!L29+'Energy Data Entry'!Q29+'Energy Data Entry'!V29+'Energy Data Entry'!AA29=0,"",'Energy Data Entry'!G29+'Energy Data Entry'!L29+'Energy Data Entry'!Q29+'Energy Data Entry'!V29+'Energy Data Entry'!AA29)</f>
        <v/>
      </c>
      <c r="O8" s="85" t="str">
        <f>IF('Energy Data Entry'!D29+'Energy Data Entry'!I29+'Energy Data Entry'!N29+'Energy Data Entry'!S29+'Energy Data Entry'!X29=0,"",'Energy Data Entry'!D29+'Energy Data Entry'!I29+'Energy Data Entry'!N29+'Energy Data Entry'!S29+'Energy Data Entry'!X29)</f>
        <v/>
      </c>
      <c r="P8" s="412">
        <f>'Energy Data Entry'!AF29</f>
        <v>0</v>
      </c>
      <c r="Q8" s="151" t="str">
        <f>_xlfn.IFERROR(Table4[[#This Row],[Total electric cost]]/Table4[[#This Row],[Electric kWh usage]],"")</f>
        <v/>
      </c>
      <c r="R8" s="151" t="str">
        <f>_xlfn.IFERROR(Table4[[#This Row],[Electric Demand Cost]]/Table4[[#This Row],[Total Electric Demand (Billed)]],_xlfn.IFERROR(Table4[[#This Row],[Electric Demand Cost]]/Table4[[#This Row],[Total Electric Demand (Actual)]],""))</f>
        <v/>
      </c>
      <c r="S8" s="85" t="str">
        <f>_xlfn.IFERROR(Table4[[#This Row],[Total Gas cost]]+Table4[[#This Row],[Total electric cost]],"")</f>
        <v/>
      </c>
      <c r="T8" s="111"/>
      <c r="U8" s="85" t="str">
        <f>_xlfn.IFERROR(Table4[[#This Row],[Total Energy Cost]]/Table4[[#This Row],[Monthly Flow]],"")</f>
        <v/>
      </c>
      <c r="V8" s="85" t="str">
        <f>_xlfn.IFERROR(Table4[[#This Row],[Total Energy Cost]]/Table4[[#This Row],[Total BOD removed]],"")</f>
        <v/>
      </c>
      <c r="W8" s="116"/>
      <c r="X8" s="86" t="str">
        <f>IF('Process Data Entry'!G10="","",'Process Data Entry'!G10)</f>
        <v/>
      </c>
      <c r="Y8" s="86" t="str">
        <f>IF('Process Data Entry'!H10="","",'Process Data Entry'!H10)</f>
        <v/>
      </c>
      <c r="Z8" s="86">
        <f>IF('Process Data Entry'!I10="",0,'Process Data Entry'!I10)</f>
        <v>0</v>
      </c>
      <c r="AA8" s="86" t="str">
        <f>IF('Process Data Entry'!J10="","",'Process Data Entry'!J10)</f>
        <v/>
      </c>
      <c r="AB8" s="86" t="str">
        <f>IF('Process Data Entry'!K10="","",'Process Data Entry'!K10)</f>
        <v/>
      </c>
      <c r="AC8" s="86" t="str">
        <f>IF('Process Data Entry'!L10="","",'Process Data Entry'!L10)</f>
        <v/>
      </c>
      <c r="AD8" s="87" t="str">
        <f t="shared" si="0"/>
        <v/>
      </c>
      <c r="AE8" s="87" t="str">
        <f t="shared" si="1"/>
        <v/>
      </c>
      <c r="AF8" s="150" t="str">
        <f>IF('Process Data Entry'!M10="","",'Process Data Entry'!M10)</f>
        <v/>
      </c>
      <c r="AG8" s="150" t="str">
        <f>IF('Process Data Entry'!N10="","",'Process Data Entry'!N10)</f>
        <v/>
      </c>
      <c r="AH8" s="81" t="str">
        <f t="shared" si="2"/>
        <v/>
      </c>
    </row>
    <row r="9" spans="1:34" ht="15">
      <c r="A9" s="78">
        <v>1</v>
      </c>
      <c r="B9" s="79">
        <f>'Energy Data Entry'!B30</f>
        <v>43101</v>
      </c>
      <c r="C9" s="80" t="str">
        <f>IF(OR('Process Data Entry'!C11="",'Process Data Entry'!C11=0),"",'Process Data Entry'!C11)</f>
        <v/>
      </c>
      <c r="D9" s="81" t="str">
        <f>IF(Table4[[#This Row],[Avg Daily Flow]]="","",_xlfn.DAYS(EOMONTH(B9,0),EOMONTH(B9,-1))*C9)</f>
        <v/>
      </c>
      <c r="E9" s="81" t="str">
        <f>IF('Process Data Entry'!F11="","",'Process Data Entry'!F11)</f>
        <v/>
      </c>
      <c r="F9" s="82" t="str">
        <f>IF(Table4[[#This Row],[BOD removed]]="","",Table4[[#This Row],[BOD removed]]*_xlfn.DAYS(EOMONTH(Table4[[#This Row],[Column2]],0),EOMONTH(Table4[[#This Row],[Column2]],-1)))</f>
        <v/>
      </c>
      <c r="G9" s="83" t="str">
        <f>IF(SUM('Energy Data Entry'!C30,'Energy Data Entry'!H30,'Energy Data Entry'!M30,'Energy Data Entry'!R30,'Energy Data Entry'!W30)=0,"",SUM('Energy Data Entry'!C30,'Energy Data Entry'!H30,'Energy Data Entry'!M30,'Energy Data Entry'!R30,'Energy Data Entry'!W30))</f>
        <v/>
      </c>
      <c r="H9" s="83">
        <f>'Energy Data Entry'!AG30</f>
        <v>0</v>
      </c>
      <c r="I9" s="83" t="str">
        <f>IF(Table4[[#This Row],[Electric kWh usage]]="","",Table4[[#This Row],[Gas kWh usage]]+Table4[[#This Row],[Electric kWh usage]])</f>
        <v/>
      </c>
      <c r="J9" s="82" t="str">
        <f>IF(OR(Table4[[#This Row],[Electric kWh usage]]="",Table4[[#This Row],[Monthly Flow]]=""),"",(Table4[[#This Row],[Electric kWh usage]]+Table4[[#This Row],[Gas kWh usage]])/Table4[[#This Row],[Monthly Flow]])</f>
        <v/>
      </c>
      <c r="K9" s="84" t="str">
        <f>_xlfn.IFERROR(IF(Table4[[#This Row],[Electric kWh usage]]="","",(Table4[[#This Row],[Electric kWh usage]]+Table4[[#This Row],[Gas kWh usage]])/Table4[[#This Row],[Total BOD removed]]),"")</f>
        <v/>
      </c>
      <c r="L9" s="83" t="str">
        <f>IF('Energy Data Entry'!E30+'Energy Data Entry'!J30+'Energy Data Entry'!O30+'Energy Data Entry'!T30+'Energy Data Entry'!Y30=0,"",'Energy Data Entry'!E30+'Energy Data Entry'!J30+'Energy Data Entry'!O30+'Energy Data Entry'!T30+'Energy Data Entry'!Y30)</f>
        <v/>
      </c>
      <c r="M9" s="83" t="str">
        <f>IF('Energy Data Entry'!F30+'Energy Data Entry'!K30+'Energy Data Entry'!P30++'Energy Data Entry'!U30+'Energy Data Entry'!Z30=0,"",'Energy Data Entry'!F30+'Energy Data Entry'!K30+'Energy Data Entry'!P30++'Energy Data Entry'!U30+'Energy Data Entry'!Z30)</f>
        <v/>
      </c>
      <c r="N9" s="85" t="str">
        <f>IF('Energy Data Entry'!G30+'Energy Data Entry'!L30+'Energy Data Entry'!Q30+'Energy Data Entry'!V30+'Energy Data Entry'!AA30=0,"",'Energy Data Entry'!G30+'Energy Data Entry'!L30+'Energy Data Entry'!Q30+'Energy Data Entry'!V30+'Energy Data Entry'!AA30)</f>
        <v/>
      </c>
      <c r="O9" s="85" t="str">
        <f>IF('Energy Data Entry'!D30+'Energy Data Entry'!I30+'Energy Data Entry'!N30+'Energy Data Entry'!S30+'Energy Data Entry'!X30=0,"",'Energy Data Entry'!D30+'Energy Data Entry'!I30+'Energy Data Entry'!N30+'Energy Data Entry'!S30+'Energy Data Entry'!X30)</f>
        <v/>
      </c>
      <c r="P9" s="412">
        <f>'Energy Data Entry'!AF30</f>
        <v>0</v>
      </c>
      <c r="Q9" s="151" t="str">
        <f>_xlfn.IFERROR(Table4[[#This Row],[Total electric cost]]/Table4[[#This Row],[Electric kWh usage]],"")</f>
        <v/>
      </c>
      <c r="R9" s="151" t="str">
        <f>_xlfn.IFERROR(Table4[[#This Row],[Electric Demand Cost]]/Table4[[#This Row],[Total Electric Demand (Billed)]],_xlfn.IFERROR(Table4[[#This Row],[Electric Demand Cost]]/Table4[[#This Row],[Total Electric Demand (Actual)]],""))</f>
        <v/>
      </c>
      <c r="S9" s="85" t="str">
        <f>_xlfn.IFERROR(Table4[[#This Row],[Total Gas cost]]+Table4[[#This Row],[Total electric cost]],"")</f>
        <v/>
      </c>
      <c r="T9" s="111"/>
      <c r="U9" s="85" t="str">
        <f>_xlfn.IFERROR(Table4[[#This Row],[Total Energy Cost]]/Table4[[#This Row],[Monthly Flow]],"")</f>
        <v/>
      </c>
      <c r="V9" s="85" t="str">
        <f>_xlfn.IFERROR(Table4[[#This Row],[Total Energy Cost]]/Table4[[#This Row],[Total BOD removed]],"")</f>
        <v/>
      </c>
      <c r="W9" s="116"/>
      <c r="X9" s="86" t="str">
        <f>IF('Process Data Entry'!G11="","",'Process Data Entry'!G11)</f>
        <v/>
      </c>
      <c r="Y9" s="86" t="str">
        <f>IF('Process Data Entry'!H11="","",'Process Data Entry'!H11)</f>
        <v/>
      </c>
      <c r="Z9" s="86">
        <f>IF('Process Data Entry'!I11="",0,'Process Data Entry'!I11)</f>
        <v>0</v>
      </c>
      <c r="AA9" s="86" t="str">
        <f>IF('Process Data Entry'!J11="","",'Process Data Entry'!J11)</f>
        <v/>
      </c>
      <c r="AB9" s="86" t="str">
        <f>IF('Process Data Entry'!K11="","",'Process Data Entry'!K11)</f>
        <v/>
      </c>
      <c r="AC9" s="86" t="str">
        <f>IF('Process Data Entry'!L11="","",'Process Data Entry'!L11)</f>
        <v/>
      </c>
      <c r="AD9" s="87" t="str">
        <f t="shared" si="0"/>
        <v/>
      </c>
      <c r="AE9" s="87" t="str">
        <f t="shared" si="1"/>
        <v/>
      </c>
      <c r="AF9" s="150" t="str">
        <f>IF('Process Data Entry'!M11="","",'Process Data Entry'!M11)</f>
        <v/>
      </c>
      <c r="AG9" s="150" t="str">
        <f>IF('Process Data Entry'!N11="","",'Process Data Entry'!N11)</f>
        <v/>
      </c>
      <c r="AH9" s="81" t="str">
        <f t="shared" si="2"/>
        <v/>
      </c>
    </row>
    <row r="10" spans="1:34" ht="15">
      <c r="A10" s="78">
        <v>1</v>
      </c>
      <c r="B10" s="79">
        <f>'Energy Data Entry'!B31</f>
        <v>43132</v>
      </c>
      <c r="C10" s="80" t="str">
        <f>IF(OR('Process Data Entry'!C12="",'Process Data Entry'!C12=0),"",'Process Data Entry'!C12)</f>
        <v/>
      </c>
      <c r="D10" s="81" t="str">
        <f>IF(Table4[[#This Row],[Avg Daily Flow]]="","",_xlfn.DAYS(EOMONTH(B10,0),EOMONTH(B10,-1))*C10)</f>
        <v/>
      </c>
      <c r="E10" s="81" t="str">
        <f>IF('Process Data Entry'!F12="","",'Process Data Entry'!F12)</f>
        <v/>
      </c>
      <c r="F10" s="82" t="str">
        <f>IF(Table4[[#This Row],[BOD removed]]="","",Table4[[#This Row],[BOD removed]]*_xlfn.DAYS(EOMONTH(Table4[[#This Row],[Column2]],0),EOMONTH(Table4[[#This Row],[Column2]],-1)))</f>
        <v/>
      </c>
      <c r="G10" s="83" t="str">
        <f>IF(SUM('Energy Data Entry'!C31,'Energy Data Entry'!H31,'Energy Data Entry'!M31,'Energy Data Entry'!R31,'Energy Data Entry'!W31)=0,"",SUM('Energy Data Entry'!C31,'Energy Data Entry'!H31,'Energy Data Entry'!M31,'Energy Data Entry'!R31,'Energy Data Entry'!W31))</f>
        <v/>
      </c>
      <c r="H10" s="83">
        <f>'Energy Data Entry'!AG31</f>
        <v>0</v>
      </c>
      <c r="I10" s="83" t="str">
        <f>IF(Table4[[#This Row],[Electric kWh usage]]="","",Table4[[#This Row],[Gas kWh usage]]+Table4[[#This Row],[Electric kWh usage]])</f>
        <v/>
      </c>
      <c r="J10" s="82" t="str">
        <f>IF(OR(Table4[[#This Row],[Electric kWh usage]]="",Table4[[#This Row],[Monthly Flow]]=""),"",(Table4[[#This Row],[Electric kWh usage]]+Table4[[#This Row],[Gas kWh usage]])/Table4[[#This Row],[Monthly Flow]])</f>
        <v/>
      </c>
      <c r="K10" s="84" t="str">
        <f>_xlfn.IFERROR(IF(Table4[[#This Row],[Electric kWh usage]]="","",(Table4[[#This Row],[Electric kWh usage]]+Table4[[#This Row],[Gas kWh usage]])/Table4[[#This Row],[Total BOD removed]]),"")</f>
        <v/>
      </c>
      <c r="L10" s="83" t="str">
        <f>IF('Energy Data Entry'!E31+'Energy Data Entry'!J31+'Energy Data Entry'!O31+'Energy Data Entry'!T31+'Energy Data Entry'!Y31=0,"",'Energy Data Entry'!E31+'Energy Data Entry'!J31+'Energy Data Entry'!O31+'Energy Data Entry'!T31+'Energy Data Entry'!Y31)</f>
        <v/>
      </c>
      <c r="M10" s="83" t="str">
        <f>IF('Energy Data Entry'!F31+'Energy Data Entry'!K31+'Energy Data Entry'!P31++'Energy Data Entry'!U31+'Energy Data Entry'!Z31=0,"",'Energy Data Entry'!F31+'Energy Data Entry'!K31+'Energy Data Entry'!P31++'Energy Data Entry'!U31+'Energy Data Entry'!Z31)</f>
        <v/>
      </c>
      <c r="N10" s="85" t="str">
        <f>IF('Energy Data Entry'!G31+'Energy Data Entry'!L31+'Energy Data Entry'!Q31+'Energy Data Entry'!V31+'Energy Data Entry'!AA31=0,"",'Energy Data Entry'!G31+'Energy Data Entry'!L31+'Energy Data Entry'!Q31+'Energy Data Entry'!V31+'Energy Data Entry'!AA31)</f>
        <v/>
      </c>
      <c r="O10" s="85" t="str">
        <f>IF('Energy Data Entry'!D31+'Energy Data Entry'!I31+'Energy Data Entry'!N31+'Energy Data Entry'!S31+'Energy Data Entry'!X31=0,"",'Energy Data Entry'!D31+'Energy Data Entry'!I31+'Energy Data Entry'!N31+'Energy Data Entry'!S31+'Energy Data Entry'!X31)</f>
        <v/>
      </c>
      <c r="P10" s="412">
        <f>'Energy Data Entry'!AF31</f>
        <v>0</v>
      </c>
      <c r="Q10" s="151" t="str">
        <f>_xlfn.IFERROR(Table4[[#This Row],[Total electric cost]]/Table4[[#This Row],[Electric kWh usage]],"")</f>
        <v/>
      </c>
      <c r="R10" s="151" t="str">
        <f>_xlfn.IFERROR(Table4[[#This Row],[Electric Demand Cost]]/Table4[[#This Row],[Total Electric Demand (Billed)]],_xlfn.IFERROR(Table4[[#This Row],[Electric Demand Cost]]/Table4[[#This Row],[Total Electric Demand (Actual)]],""))</f>
        <v/>
      </c>
      <c r="S10" s="85" t="str">
        <f>_xlfn.IFERROR(Table4[[#This Row],[Total Gas cost]]+Table4[[#This Row],[Total electric cost]],"")</f>
        <v/>
      </c>
      <c r="T10" s="111"/>
      <c r="U10" s="85" t="str">
        <f>_xlfn.IFERROR(Table4[[#This Row],[Total Energy Cost]]/Table4[[#This Row],[Monthly Flow]],"")</f>
        <v/>
      </c>
      <c r="V10" s="85" t="str">
        <f>_xlfn.IFERROR(Table4[[#This Row],[Total Energy Cost]]/Table4[[#This Row],[Total BOD removed]],"")</f>
        <v/>
      </c>
      <c r="W10" s="116"/>
      <c r="X10" s="86" t="str">
        <f>IF('Process Data Entry'!G12="","",'Process Data Entry'!G12)</f>
        <v/>
      </c>
      <c r="Y10" s="86" t="str">
        <f>IF('Process Data Entry'!H12="","",'Process Data Entry'!H12)</f>
        <v/>
      </c>
      <c r="Z10" s="86">
        <f>IF('Process Data Entry'!I12="",0,'Process Data Entry'!I12)</f>
        <v>0</v>
      </c>
      <c r="AA10" s="86" t="str">
        <f>IF('Process Data Entry'!J12="","",'Process Data Entry'!J12)</f>
        <v/>
      </c>
      <c r="AB10" s="86" t="str">
        <f>IF('Process Data Entry'!K12="","",'Process Data Entry'!K12)</f>
        <v/>
      </c>
      <c r="AC10" s="86" t="str">
        <f>IF('Process Data Entry'!L12="","",'Process Data Entry'!L12)</f>
        <v/>
      </c>
      <c r="AD10" s="87" t="str">
        <f t="shared" si="0"/>
        <v/>
      </c>
      <c r="AE10" s="87" t="str">
        <f t="shared" si="1"/>
        <v/>
      </c>
      <c r="AF10" s="150" t="str">
        <f>IF('Process Data Entry'!M12="","",'Process Data Entry'!M12)</f>
        <v/>
      </c>
      <c r="AG10" s="150" t="str">
        <f>IF('Process Data Entry'!N12="","",'Process Data Entry'!N12)</f>
        <v/>
      </c>
      <c r="AH10" s="81" t="str">
        <f t="shared" si="2"/>
        <v/>
      </c>
    </row>
    <row r="11" spans="1:34" ht="15">
      <c r="A11" s="78">
        <v>1</v>
      </c>
      <c r="B11" s="79">
        <f>'Energy Data Entry'!B32</f>
        <v>43160</v>
      </c>
      <c r="C11" s="80" t="str">
        <f>IF(OR('Process Data Entry'!C13="",'Process Data Entry'!C13=0),"",'Process Data Entry'!C13)</f>
        <v/>
      </c>
      <c r="D11" s="81" t="str">
        <f>IF(Table4[[#This Row],[Avg Daily Flow]]="","",_xlfn.DAYS(EOMONTH(B11,0),EOMONTH(B11,-1))*C11)</f>
        <v/>
      </c>
      <c r="E11" s="81" t="str">
        <f>IF('Process Data Entry'!F13="","",'Process Data Entry'!F13)</f>
        <v/>
      </c>
      <c r="F11" s="82" t="str">
        <f>IF(Table4[[#This Row],[BOD removed]]="","",Table4[[#This Row],[BOD removed]]*_xlfn.DAYS(EOMONTH(Table4[[#This Row],[Column2]],0),EOMONTH(Table4[[#This Row],[Column2]],-1)))</f>
        <v/>
      </c>
      <c r="G11" s="83" t="str">
        <f>IF(SUM('Energy Data Entry'!C32,'Energy Data Entry'!H32,'Energy Data Entry'!M32,'Energy Data Entry'!R32,'Energy Data Entry'!W32)=0,"",SUM('Energy Data Entry'!C32,'Energy Data Entry'!H32,'Energy Data Entry'!M32,'Energy Data Entry'!R32,'Energy Data Entry'!W32))</f>
        <v/>
      </c>
      <c r="H11" s="83">
        <f>'Energy Data Entry'!AG32</f>
        <v>0</v>
      </c>
      <c r="I11" s="83" t="str">
        <f>IF(Table4[[#This Row],[Electric kWh usage]]="","",Table4[[#This Row],[Gas kWh usage]]+Table4[[#This Row],[Electric kWh usage]])</f>
        <v/>
      </c>
      <c r="J11" s="82" t="str">
        <f>IF(OR(Table4[[#This Row],[Electric kWh usage]]="",Table4[[#This Row],[Monthly Flow]]=""),"",(Table4[[#This Row],[Electric kWh usage]]+Table4[[#This Row],[Gas kWh usage]])/Table4[[#This Row],[Monthly Flow]])</f>
        <v/>
      </c>
      <c r="K11" s="84" t="str">
        <f>_xlfn.IFERROR(IF(Table4[[#This Row],[Electric kWh usage]]="","",(Table4[[#This Row],[Electric kWh usage]]+Table4[[#This Row],[Gas kWh usage]])/Table4[[#This Row],[Total BOD removed]]),"")</f>
        <v/>
      </c>
      <c r="L11" s="83" t="str">
        <f>IF('Energy Data Entry'!E32+'Energy Data Entry'!J32+'Energy Data Entry'!O32+'Energy Data Entry'!T32+'Energy Data Entry'!Y32=0,"",'Energy Data Entry'!E32+'Energy Data Entry'!J32+'Energy Data Entry'!O32+'Energy Data Entry'!T32+'Energy Data Entry'!Y32)</f>
        <v/>
      </c>
      <c r="M11" s="83" t="str">
        <f>IF('Energy Data Entry'!F32+'Energy Data Entry'!K32+'Energy Data Entry'!P32++'Energy Data Entry'!U32+'Energy Data Entry'!Z32=0,"",'Energy Data Entry'!F32+'Energy Data Entry'!K32+'Energy Data Entry'!P32++'Energy Data Entry'!U32+'Energy Data Entry'!Z32)</f>
        <v/>
      </c>
      <c r="N11" s="85" t="str">
        <f>IF('Energy Data Entry'!G32+'Energy Data Entry'!L32+'Energy Data Entry'!Q32+'Energy Data Entry'!V32+'Energy Data Entry'!AA32=0,"",'Energy Data Entry'!G32+'Energy Data Entry'!L32+'Energy Data Entry'!Q32+'Energy Data Entry'!V32+'Energy Data Entry'!AA32)</f>
        <v/>
      </c>
      <c r="O11" s="85" t="str">
        <f>IF('Energy Data Entry'!D32+'Energy Data Entry'!I32+'Energy Data Entry'!N32+'Energy Data Entry'!S32+'Energy Data Entry'!X32=0,"",'Energy Data Entry'!D32+'Energy Data Entry'!I32+'Energy Data Entry'!N32+'Energy Data Entry'!S32+'Energy Data Entry'!X32)</f>
        <v/>
      </c>
      <c r="P11" s="412">
        <f>'Energy Data Entry'!AF32</f>
        <v>0</v>
      </c>
      <c r="Q11" s="151" t="str">
        <f>_xlfn.IFERROR(Table4[[#This Row],[Total electric cost]]/Table4[[#This Row],[Electric kWh usage]],"")</f>
        <v/>
      </c>
      <c r="R11" s="151" t="str">
        <f>_xlfn.IFERROR(Table4[[#This Row],[Electric Demand Cost]]/Table4[[#This Row],[Total Electric Demand (Billed)]],_xlfn.IFERROR(Table4[[#This Row],[Electric Demand Cost]]/Table4[[#This Row],[Total Electric Demand (Actual)]],""))</f>
        <v/>
      </c>
      <c r="S11" s="85" t="str">
        <f>_xlfn.IFERROR(Table4[[#This Row],[Total Gas cost]]+Table4[[#This Row],[Total electric cost]],"")</f>
        <v/>
      </c>
      <c r="T11" s="111"/>
      <c r="U11" s="85" t="str">
        <f>_xlfn.IFERROR(Table4[[#This Row],[Total Energy Cost]]/Table4[[#This Row],[Monthly Flow]],"")</f>
        <v/>
      </c>
      <c r="V11" s="85" t="str">
        <f>_xlfn.IFERROR(Table4[[#This Row],[Total Energy Cost]]/Table4[[#This Row],[Total BOD removed]],"")</f>
        <v/>
      </c>
      <c r="W11" s="116"/>
      <c r="X11" s="86" t="str">
        <f>IF('Process Data Entry'!G13="","",'Process Data Entry'!G13)</f>
        <v/>
      </c>
      <c r="Y11" s="86" t="str">
        <f>IF('Process Data Entry'!H13="","",'Process Data Entry'!H13)</f>
        <v/>
      </c>
      <c r="Z11" s="86">
        <f>IF('Process Data Entry'!I13="",0,'Process Data Entry'!I13)</f>
        <v>0</v>
      </c>
      <c r="AA11" s="86" t="str">
        <f>IF('Process Data Entry'!J13="","",'Process Data Entry'!J13)</f>
        <v/>
      </c>
      <c r="AB11" s="86" t="str">
        <f>IF('Process Data Entry'!K13="","",'Process Data Entry'!K13)</f>
        <v/>
      </c>
      <c r="AC11" s="86" t="str">
        <f>IF('Process Data Entry'!L13="","",'Process Data Entry'!L13)</f>
        <v/>
      </c>
      <c r="AD11" s="87" t="str">
        <f t="shared" si="0"/>
        <v/>
      </c>
      <c r="AE11" s="87" t="str">
        <f t="shared" si="1"/>
        <v/>
      </c>
      <c r="AF11" s="150" t="str">
        <f>IF('Process Data Entry'!M13="","",'Process Data Entry'!M13)</f>
        <v/>
      </c>
      <c r="AG11" s="150" t="str">
        <f>IF('Process Data Entry'!N13="","",'Process Data Entry'!N13)</f>
        <v/>
      </c>
      <c r="AH11" s="81" t="str">
        <f t="shared" si="2"/>
        <v/>
      </c>
    </row>
    <row r="12" spans="1:34" ht="15">
      <c r="A12" s="78">
        <v>1</v>
      </c>
      <c r="B12" s="79">
        <f>'Energy Data Entry'!B33</f>
        <v>43191</v>
      </c>
      <c r="C12" s="80" t="str">
        <f>IF(OR('Process Data Entry'!C14="",'Process Data Entry'!C14=0),"",'Process Data Entry'!C14)</f>
        <v/>
      </c>
      <c r="D12" s="81" t="str">
        <f>IF(Table4[[#This Row],[Avg Daily Flow]]="","",_xlfn.DAYS(EOMONTH(B12,0),EOMONTH(B12,-1))*C12)</f>
        <v/>
      </c>
      <c r="E12" s="81" t="str">
        <f>IF('Process Data Entry'!F14="","",'Process Data Entry'!F14)</f>
        <v/>
      </c>
      <c r="F12" s="82" t="str">
        <f>IF(Table4[[#This Row],[BOD removed]]="","",Table4[[#This Row],[BOD removed]]*_xlfn.DAYS(EOMONTH(Table4[[#This Row],[Column2]],0),EOMONTH(Table4[[#This Row],[Column2]],-1)))</f>
        <v/>
      </c>
      <c r="G12" s="83" t="str">
        <f>IF(SUM('Energy Data Entry'!C33,'Energy Data Entry'!H33,'Energy Data Entry'!M33,'Energy Data Entry'!R33,'Energy Data Entry'!W33)=0,"",SUM('Energy Data Entry'!C33,'Energy Data Entry'!H33,'Energy Data Entry'!M33,'Energy Data Entry'!R33,'Energy Data Entry'!W33))</f>
        <v/>
      </c>
      <c r="H12" s="83">
        <f>'Energy Data Entry'!AG33</f>
        <v>0</v>
      </c>
      <c r="I12" s="83" t="str">
        <f>IF(Table4[[#This Row],[Electric kWh usage]]="","",Table4[[#This Row],[Gas kWh usage]]+Table4[[#This Row],[Electric kWh usage]])</f>
        <v/>
      </c>
      <c r="J12" s="82" t="str">
        <f>IF(OR(Table4[[#This Row],[Electric kWh usage]]="",Table4[[#This Row],[Monthly Flow]]=""),"",(Table4[[#This Row],[Electric kWh usage]]+Table4[[#This Row],[Gas kWh usage]])/Table4[[#This Row],[Monthly Flow]])</f>
        <v/>
      </c>
      <c r="K12" s="84" t="str">
        <f>_xlfn.IFERROR(IF(Table4[[#This Row],[Electric kWh usage]]="","",(Table4[[#This Row],[Electric kWh usage]]+Table4[[#This Row],[Gas kWh usage]])/Table4[[#This Row],[Total BOD removed]]),"")</f>
        <v/>
      </c>
      <c r="L12" s="83" t="str">
        <f>IF('Energy Data Entry'!E33+'Energy Data Entry'!J33+'Energy Data Entry'!O33+'Energy Data Entry'!T33+'Energy Data Entry'!Y33=0,"",'Energy Data Entry'!E33+'Energy Data Entry'!J33+'Energy Data Entry'!O33+'Energy Data Entry'!T33+'Energy Data Entry'!Y33)</f>
        <v/>
      </c>
      <c r="M12" s="83" t="str">
        <f>IF('Energy Data Entry'!F33+'Energy Data Entry'!K33+'Energy Data Entry'!P33++'Energy Data Entry'!U33+'Energy Data Entry'!Z33=0,"",'Energy Data Entry'!F33+'Energy Data Entry'!K33+'Energy Data Entry'!P33++'Energy Data Entry'!U33+'Energy Data Entry'!Z33)</f>
        <v/>
      </c>
      <c r="N12" s="85" t="str">
        <f>IF('Energy Data Entry'!G33+'Energy Data Entry'!L33+'Energy Data Entry'!Q33+'Energy Data Entry'!V33+'Energy Data Entry'!AA33=0,"",'Energy Data Entry'!G33+'Energy Data Entry'!L33+'Energy Data Entry'!Q33+'Energy Data Entry'!V33+'Energy Data Entry'!AA33)</f>
        <v/>
      </c>
      <c r="O12" s="85" t="str">
        <f>IF('Energy Data Entry'!D33+'Energy Data Entry'!I33+'Energy Data Entry'!N33+'Energy Data Entry'!S33+'Energy Data Entry'!X33=0,"",'Energy Data Entry'!D33+'Energy Data Entry'!I33+'Energy Data Entry'!N33+'Energy Data Entry'!S33+'Energy Data Entry'!X33)</f>
        <v/>
      </c>
      <c r="P12" s="412">
        <f>'Energy Data Entry'!AF33</f>
        <v>0</v>
      </c>
      <c r="Q12" s="151" t="str">
        <f>_xlfn.IFERROR(Table4[[#This Row],[Total electric cost]]/Table4[[#This Row],[Electric kWh usage]],"")</f>
        <v/>
      </c>
      <c r="R12" s="151" t="str">
        <f>_xlfn.IFERROR(Table4[[#This Row],[Electric Demand Cost]]/Table4[[#This Row],[Total Electric Demand (Billed)]],_xlfn.IFERROR(Table4[[#This Row],[Electric Demand Cost]]/Table4[[#This Row],[Total Electric Demand (Actual)]],""))</f>
        <v/>
      </c>
      <c r="S12" s="85" t="str">
        <f>_xlfn.IFERROR(Table4[[#This Row],[Total Gas cost]]+Table4[[#This Row],[Total electric cost]],"")</f>
        <v/>
      </c>
      <c r="T12" s="111"/>
      <c r="U12" s="85" t="str">
        <f>_xlfn.IFERROR(Table4[[#This Row],[Total Energy Cost]]/Table4[[#This Row],[Monthly Flow]],"")</f>
        <v/>
      </c>
      <c r="V12" s="85" t="str">
        <f>_xlfn.IFERROR(Table4[[#This Row],[Total Energy Cost]]/Table4[[#This Row],[Total BOD removed]],"")</f>
        <v/>
      </c>
      <c r="W12" s="116"/>
      <c r="X12" s="86" t="str">
        <f>IF('Process Data Entry'!G14="","",'Process Data Entry'!G14)</f>
        <v/>
      </c>
      <c r="Y12" s="86" t="str">
        <f>IF('Process Data Entry'!H14="","",'Process Data Entry'!H14)</f>
        <v/>
      </c>
      <c r="Z12" s="86">
        <f>IF('Process Data Entry'!I14="",0,'Process Data Entry'!I14)</f>
        <v>0</v>
      </c>
      <c r="AA12" s="86" t="str">
        <f>IF('Process Data Entry'!J14="","",'Process Data Entry'!J14)</f>
        <v/>
      </c>
      <c r="AB12" s="86" t="str">
        <f>IF('Process Data Entry'!K14="","",'Process Data Entry'!K14)</f>
        <v/>
      </c>
      <c r="AC12" s="86" t="str">
        <f>IF('Process Data Entry'!L14="","",'Process Data Entry'!L14)</f>
        <v/>
      </c>
      <c r="AD12" s="87" t="str">
        <f t="shared" si="0"/>
        <v/>
      </c>
      <c r="AE12" s="87" t="str">
        <f t="shared" si="1"/>
        <v/>
      </c>
      <c r="AF12" s="150" t="str">
        <f>IF('Process Data Entry'!M14="","",'Process Data Entry'!M14)</f>
        <v/>
      </c>
      <c r="AG12" s="150" t="str">
        <f>IF('Process Data Entry'!N14="","",'Process Data Entry'!N14)</f>
        <v/>
      </c>
      <c r="AH12" s="81" t="str">
        <f t="shared" si="2"/>
        <v/>
      </c>
    </row>
    <row r="13" spans="1:34" ht="15">
      <c r="A13" s="78">
        <v>1</v>
      </c>
      <c r="B13" s="79">
        <f>'Energy Data Entry'!B34</f>
        <v>43221</v>
      </c>
      <c r="C13" s="80" t="str">
        <f>IF(OR('Process Data Entry'!C15="",'Process Data Entry'!C15=0),"",'Process Data Entry'!C15)</f>
        <v/>
      </c>
      <c r="D13" s="81" t="str">
        <f>IF(Table4[[#This Row],[Avg Daily Flow]]="","",_xlfn.DAYS(EOMONTH(B13,0),EOMONTH(B13,-1))*C13)</f>
        <v/>
      </c>
      <c r="E13" s="81" t="str">
        <f>IF('Process Data Entry'!F15="","",'Process Data Entry'!F15)</f>
        <v/>
      </c>
      <c r="F13" s="82" t="str">
        <f>IF(Table4[[#This Row],[BOD removed]]="","",Table4[[#This Row],[BOD removed]]*_xlfn.DAYS(EOMONTH(Table4[[#This Row],[Column2]],0),EOMONTH(Table4[[#This Row],[Column2]],-1)))</f>
        <v/>
      </c>
      <c r="G13" s="83" t="str">
        <f>IF(SUM('Energy Data Entry'!C34,'Energy Data Entry'!H34,'Energy Data Entry'!M34,'Energy Data Entry'!R34,'Energy Data Entry'!W34)=0,"",SUM('Energy Data Entry'!C34,'Energy Data Entry'!H34,'Energy Data Entry'!M34,'Energy Data Entry'!R34,'Energy Data Entry'!W34))</f>
        <v/>
      </c>
      <c r="H13" s="83">
        <f>'Energy Data Entry'!AG34</f>
        <v>0</v>
      </c>
      <c r="I13" s="83" t="str">
        <f>IF(Table4[[#This Row],[Electric kWh usage]]="","",Table4[[#This Row],[Gas kWh usage]]+Table4[[#This Row],[Electric kWh usage]])</f>
        <v/>
      </c>
      <c r="J13" s="82" t="str">
        <f>IF(OR(Table4[[#This Row],[Electric kWh usage]]="",Table4[[#This Row],[Monthly Flow]]=""),"",(Table4[[#This Row],[Electric kWh usage]]+Table4[[#This Row],[Gas kWh usage]])/Table4[[#This Row],[Monthly Flow]])</f>
        <v/>
      </c>
      <c r="K13" s="84" t="str">
        <f>_xlfn.IFERROR(IF(Table4[[#This Row],[Electric kWh usage]]="","",(Table4[[#This Row],[Electric kWh usage]]+Table4[[#This Row],[Gas kWh usage]])/Table4[[#This Row],[Total BOD removed]]),"")</f>
        <v/>
      </c>
      <c r="L13" s="83" t="str">
        <f>IF('Energy Data Entry'!E34+'Energy Data Entry'!J34+'Energy Data Entry'!O34+'Energy Data Entry'!T34+'Energy Data Entry'!Y34=0,"",'Energy Data Entry'!E34+'Energy Data Entry'!J34+'Energy Data Entry'!O34+'Energy Data Entry'!T34+'Energy Data Entry'!Y34)</f>
        <v/>
      </c>
      <c r="M13" s="83" t="str">
        <f>IF('Energy Data Entry'!F34+'Energy Data Entry'!K34+'Energy Data Entry'!P34++'Energy Data Entry'!U34+'Energy Data Entry'!Z34=0,"",'Energy Data Entry'!F34+'Energy Data Entry'!K34+'Energy Data Entry'!P34++'Energy Data Entry'!U34+'Energy Data Entry'!Z34)</f>
        <v/>
      </c>
      <c r="N13" s="85" t="str">
        <f>IF('Energy Data Entry'!G34+'Energy Data Entry'!L34+'Energy Data Entry'!Q34+'Energy Data Entry'!V34+'Energy Data Entry'!AA34=0,"",'Energy Data Entry'!G34+'Energy Data Entry'!L34+'Energy Data Entry'!Q34+'Energy Data Entry'!V34+'Energy Data Entry'!AA34)</f>
        <v/>
      </c>
      <c r="O13" s="85" t="str">
        <f>IF('Energy Data Entry'!D34+'Energy Data Entry'!I34+'Energy Data Entry'!N34+'Energy Data Entry'!S34+'Energy Data Entry'!X34=0,"",'Energy Data Entry'!D34+'Energy Data Entry'!I34+'Energy Data Entry'!N34+'Energy Data Entry'!S34+'Energy Data Entry'!X34)</f>
        <v/>
      </c>
      <c r="P13" s="412">
        <f>'Energy Data Entry'!AF34</f>
        <v>0</v>
      </c>
      <c r="Q13" s="151" t="str">
        <f>_xlfn.IFERROR(Table4[[#This Row],[Total electric cost]]/Table4[[#This Row],[Electric kWh usage]],"")</f>
        <v/>
      </c>
      <c r="R13" s="151" t="str">
        <f>_xlfn.IFERROR(Table4[[#This Row],[Electric Demand Cost]]/Table4[[#This Row],[Total Electric Demand (Billed)]],_xlfn.IFERROR(Table4[[#This Row],[Electric Demand Cost]]/Table4[[#This Row],[Total Electric Demand (Actual)]],""))</f>
        <v/>
      </c>
      <c r="S13" s="85" t="str">
        <f>_xlfn.IFERROR(Table4[[#This Row],[Total Gas cost]]+Table4[[#This Row],[Total electric cost]],"")</f>
        <v/>
      </c>
      <c r="T13" s="111"/>
      <c r="U13" s="85" t="str">
        <f>_xlfn.IFERROR(Table4[[#This Row],[Total Energy Cost]]/Table4[[#This Row],[Monthly Flow]],"")</f>
        <v/>
      </c>
      <c r="V13" s="85" t="str">
        <f>_xlfn.IFERROR(Table4[[#This Row],[Total Energy Cost]]/Table4[[#This Row],[Total BOD removed]],"")</f>
        <v/>
      </c>
      <c r="W13" s="116"/>
      <c r="X13" s="86" t="str">
        <f>IF('Process Data Entry'!G15="","",'Process Data Entry'!G15)</f>
        <v/>
      </c>
      <c r="Y13" s="86" t="str">
        <f>IF('Process Data Entry'!H15="","",'Process Data Entry'!H15)</f>
        <v/>
      </c>
      <c r="Z13" s="86">
        <f>IF('Process Data Entry'!I15="",0,'Process Data Entry'!I15)</f>
        <v>0</v>
      </c>
      <c r="AA13" s="86" t="str">
        <f>IF('Process Data Entry'!J15="","",'Process Data Entry'!J15)</f>
        <v/>
      </c>
      <c r="AB13" s="86" t="str">
        <f>IF('Process Data Entry'!K15="","",'Process Data Entry'!K15)</f>
        <v/>
      </c>
      <c r="AC13" s="86" t="str">
        <f>IF('Process Data Entry'!L15="","",'Process Data Entry'!L15)</f>
        <v/>
      </c>
      <c r="AD13" s="87" t="str">
        <f t="shared" si="0"/>
        <v/>
      </c>
      <c r="AE13" s="87" t="str">
        <f t="shared" si="1"/>
        <v/>
      </c>
      <c r="AF13" s="150" t="str">
        <f>IF('Process Data Entry'!M15="","",'Process Data Entry'!M15)</f>
        <v/>
      </c>
      <c r="AG13" s="150" t="str">
        <f>IF('Process Data Entry'!N15="","",'Process Data Entry'!N15)</f>
        <v/>
      </c>
      <c r="AH13" s="81" t="str">
        <f t="shared" si="2"/>
        <v/>
      </c>
    </row>
    <row r="14" spans="1:34" ht="15">
      <c r="A14" s="78">
        <v>1</v>
      </c>
      <c r="B14" s="79">
        <f>'Energy Data Entry'!B35</f>
        <v>43252</v>
      </c>
      <c r="C14" s="80" t="str">
        <f>IF(OR('Process Data Entry'!C16="",'Process Data Entry'!C16=0),"",'Process Data Entry'!C16)</f>
        <v/>
      </c>
      <c r="D14" s="81" t="str">
        <f>IF(Table4[[#This Row],[Avg Daily Flow]]="","",_xlfn.DAYS(EOMONTH(B14,0),EOMONTH(B14,-1))*C14)</f>
        <v/>
      </c>
      <c r="E14" s="81" t="str">
        <f>IF('Process Data Entry'!F16="","",'Process Data Entry'!F16)</f>
        <v/>
      </c>
      <c r="F14" s="82" t="str">
        <f>IF(Table4[[#This Row],[BOD removed]]="","",Table4[[#This Row],[BOD removed]]*_xlfn.DAYS(EOMONTH(Table4[[#This Row],[Column2]],0),EOMONTH(Table4[[#This Row],[Column2]],-1)))</f>
        <v/>
      </c>
      <c r="G14" s="83" t="str">
        <f>IF(SUM('Energy Data Entry'!C35,'Energy Data Entry'!H35,'Energy Data Entry'!M35,'Energy Data Entry'!R35,'Energy Data Entry'!W35)=0,"",SUM('Energy Data Entry'!C35,'Energy Data Entry'!H35,'Energy Data Entry'!M35,'Energy Data Entry'!R35,'Energy Data Entry'!W35))</f>
        <v/>
      </c>
      <c r="H14" s="83">
        <f>'Energy Data Entry'!AG35</f>
        <v>0</v>
      </c>
      <c r="I14" s="83" t="str">
        <f>IF(Table4[[#This Row],[Electric kWh usage]]="","",Table4[[#This Row],[Gas kWh usage]]+Table4[[#This Row],[Electric kWh usage]])</f>
        <v/>
      </c>
      <c r="J14" s="82" t="str">
        <f>IF(OR(Table4[[#This Row],[Electric kWh usage]]="",Table4[[#This Row],[Monthly Flow]]=""),"",(Table4[[#This Row],[Electric kWh usage]]+Table4[[#This Row],[Gas kWh usage]])/Table4[[#This Row],[Monthly Flow]])</f>
        <v/>
      </c>
      <c r="K14" s="84" t="str">
        <f>_xlfn.IFERROR(IF(Table4[[#This Row],[Electric kWh usage]]="","",(Table4[[#This Row],[Electric kWh usage]]+Table4[[#This Row],[Gas kWh usage]])/Table4[[#This Row],[Total BOD removed]]),"")</f>
        <v/>
      </c>
      <c r="L14" s="83" t="str">
        <f>IF('Energy Data Entry'!E35+'Energy Data Entry'!J35+'Energy Data Entry'!O35+'Energy Data Entry'!T35+'Energy Data Entry'!Y35=0,"",'Energy Data Entry'!E35+'Energy Data Entry'!J35+'Energy Data Entry'!O35+'Energy Data Entry'!T35+'Energy Data Entry'!Y35)</f>
        <v/>
      </c>
      <c r="M14" s="83" t="str">
        <f>IF('Energy Data Entry'!F35+'Energy Data Entry'!K35+'Energy Data Entry'!P35++'Energy Data Entry'!U35+'Energy Data Entry'!Z35=0,"",'Energy Data Entry'!F35+'Energy Data Entry'!K35+'Energy Data Entry'!P35++'Energy Data Entry'!U35+'Energy Data Entry'!Z35)</f>
        <v/>
      </c>
      <c r="N14" s="85" t="str">
        <f>IF('Energy Data Entry'!G35+'Energy Data Entry'!L35+'Energy Data Entry'!Q35+'Energy Data Entry'!V35+'Energy Data Entry'!AA35=0,"",'Energy Data Entry'!G35+'Energy Data Entry'!L35+'Energy Data Entry'!Q35+'Energy Data Entry'!V35+'Energy Data Entry'!AA35)</f>
        <v/>
      </c>
      <c r="O14" s="85" t="str">
        <f>IF('Energy Data Entry'!D35+'Energy Data Entry'!I35+'Energy Data Entry'!N35+'Energy Data Entry'!S35+'Energy Data Entry'!X35=0,"",'Energy Data Entry'!D35+'Energy Data Entry'!I35+'Energy Data Entry'!N35+'Energy Data Entry'!S35+'Energy Data Entry'!X35)</f>
        <v/>
      </c>
      <c r="P14" s="412">
        <f>'Energy Data Entry'!AF35</f>
        <v>0</v>
      </c>
      <c r="Q14" s="151" t="str">
        <f>_xlfn.IFERROR(Table4[[#This Row],[Total electric cost]]/Table4[[#This Row],[Electric kWh usage]],"")</f>
        <v/>
      </c>
      <c r="R14" s="151" t="str">
        <f>_xlfn.IFERROR(Table4[[#This Row],[Electric Demand Cost]]/Table4[[#This Row],[Total Electric Demand (Billed)]],_xlfn.IFERROR(Table4[[#This Row],[Electric Demand Cost]]/Table4[[#This Row],[Total Electric Demand (Actual)]],""))</f>
        <v/>
      </c>
      <c r="S14" s="85" t="str">
        <f>_xlfn.IFERROR(Table4[[#This Row],[Total Gas cost]]+Table4[[#This Row],[Total electric cost]],"")</f>
        <v/>
      </c>
      <c r="T14" s="111"/>
      <c r="U14" s="85" t="str">
        <f>_xlfn.IFERROR(Table4[[#This Row],[Total Energy Cost]]/Table4[[#This Row],[Monthly Flow]],"")</f>
        <v/>
      </c>
      <c r="V14" s="85" t="str">
        <f>_xlfn.IFERROR(Table4[[#This Row],[Total Energy Cost]]/Table4[[#This Row],[Total BOD removed]],"")</f>
        <v/>
      </c>
      <c r="W14" s="116"/>
      <c r="X14" s="86" t="str">
        <f>IF('Process Data Entry'!G16="","",'Process Data Entry'!G16)</f>
        <v/>
      </c>
      <c r="Y14" s="86" t="str">
        <f>IF('Process Data Entry'!H16="","",'Process Data Entry'!H16)</f>
        <v/>
      </c>
      <c r="Z14" s="86">
        <f>IF('Process Data Entry'!I16="",0,'Process Data Entry'!I16)</f>
        <v>0</v>
      </c>
      <c r="AA14" s="86" t="str">
        <f>IF('Process Data Entry'!J16="","",'Process Data Entry'!J16)</f>
        <v/>
      </c>
      <c r="AB14" s="86" t="str">
        <f>IF('Process Data Entry'!K16="","",'Process Data Entry'!K16)</f>
        <v/>
      </c>
      <c r="AC14" s="86" t="str">
        <f>IF('Process Data Entry'!L16="","",'Process Data Entry'!L16)</f>
        <v/>
      </c>
      <c r="AD14" s="87" t="str">
        <f t="shared" si="0"/>
        <v/>
      </c>
      <c r="AE14" s="87" t="str">
        <f t="shared" si="1"/>
        <v/>
      </c>
      <c r="AF14" s="150" t="str">
        <f>IF('Process Data Entry'!M16="","",'Process Data Entry'!M16)</f>
        <v/>
      </c>
      <c r="AG14" s="150" t="str">
        <f>IF('Process Data Entry'!N16="","",'Process Data Entry'!N16)</f>
        <v/>
      </c>
      <c r="AH14" s="81" t="str">
        <f t="shared" si="2"/>
        <v/>
      </c>
    </row>
    <row r="15" spans="1:34" s="105" customFormat="1" ht="15" thickBot="1">
      <c r="A15" s="97">
        <v>1</v>
      </c>
      <c r="B15" s="98">
        <f>'Energy Data Entry'!B36</f>
        <v>43282</v>
      </c>
      <c r="C15" s="361" t="str">
        <f>IF(OR('Process Data Entry'!C17="",'Process Data Entry'!C17=0),"",'Process Data Entry'!C17)</f>
        <v/>
      </c>
      <c r="D15" s="99" t="str">
        <f>IF(Table4[[#This Row],[Avg Daily Flow]]="","",_xlfn.DAYS(EOMONTH(B15,0),EOMONTH(B15,-1))*C15)</f>
        <v/>
      </c>
      <c r="E15" s="99" t="str">
        <f>IF('Process Data Entry'!F17="","",'Process Data Entry'!F17)</f>
        <v/>
      </c>
      <c r="F15" s="100" t="str">
        <f>IF(Table4[[#This Row],[BOD removed]]="","",Table4[[#This Row],[BOD removed]]*_xlfn.DAYS(EOMONTH(Table4[[#This Row],[Column2]],0),EOMONTH(Table4[[#This Row],[Column2]],-1)))</f>
        <v/>
      </c>
      <c r="G15" s="101" t="str">
        <f>IF(SUM('Energy Data Entry'!C36,'Energy Data Entry'!H36,'Energy Data Entry'!M36,'Energy Data Entry'!R36,'Energy Data Entry'!W36)=0,"",SUM('Energy Data Entry'!C36,'Energy Data Entry'!H36,'Energy Data Entry'!M36,'Energy Data Entry'!R36,'Energy Data Entry'!W36))</f>
        <v/>
      </c>
      <c r="H15" s="101">
        <f>'Energy Data Entry'!AG36</f>
        <v>0</v>
      </c>
      <c r="I15" s="101" t="str">
        <f>IF(Table4[[#This Row],[Electric kWh usage]]="","",Table4[[#This Row],[Gas kWh usage]]+Table4[[#This Row],[Electric kWh usage]])</f>
        <v/>
      </c>
      <c r="J15" s="100" t="str">
        <f>IF(OR(Table4[[#This Row],[Electric kWh usage]]="",Table4[[#This Row],[Monthly Flow]]=""),"",(Table4[[#This Row],[Electric kWh usage]]+Table4[[#This Row],[Gas kWh usage]])/Table4[[#This Row],[Monthly Flow]])</f>
        <v/>
      </c>
      <c r="K15" s="102" t="str">
        <f>_xlfn.IFERROR(IF(Table4[[#This Row],[Electric kWh usage]]="","",(Table4[[#This Row],[Electric kWh usage]]+Table4[[#This Row],[Gas kWh usage]])/Table4[[#This Row],[Total BOD removed]]),"")</f>
        <v/>
      </c>
      <c r="L15" s="101" t="str">
        <f>IF('Energy Data Entry'!E36+'Energy Data Entry'!J36+'Energy Data Entry'!O36+'Energy Data Entry'!T36+'Energy Data Entry'!Y36=0,"",'Energy Data Entry'!E36+'Energy Data Entry'!J36+'Energy Data Entry'!O36+'Energy Data Entry'!T36+'Energy Data Entry'!Y36)</f>
        <v/>
      </c>
      <c r="M15" s="101" t="str">
        <f>IF('Energy Data Entry'!F36+'Energy Data Entry'!K36+'Energy Data Entry'!P36++'Energy Data Entry'!U36+'Energy Data Entry'!Z36=0,"",'Energy Data Entry'!F36+'Energy Data Entry'!K36+'Energy Data Entry'!P36++'Energy Data Entry'!U36+'Energy Data Entry'!Z36)</f>
        <v/>
      </c>
      <c r="N15" s="103" t="str">
        <f>IF('Energy Data Entry'!G36+'Energy Data Entry'!L36+'Energy Data Entry'!Q36+'Energy Data Entry'!V36+'Energy Data Entry'!AA36=0,"",'Energy Data Entry'!G36+'Energy Data Entry'!L36+'Energy Data Entry'!Q36+'Energy Data Entry'!V36+'Energy Data Entry'!AA36)</f>
        <v/>
      </c>
      <c r="O15" s="103" t="str">
        <f>IF('Energy Data Entry'!D36+'Energy Data Entry'!I36+'Energy Data Entry'!N36+'Energy Data Entry'!S36+'Energy Data Entry'!X36=0,"",'Energy Data Entry'!D36+'Energy Data Entry'!I36+'Energy Data Entry'!N36+'Energy Data Entry'!S36+'Energy Data Entry'!X36)</f>
        <v/>
      </c>
      <c r="P15" s="413">
        <f>'Energy Data Entry'!AF36</f>
        <v>0</v>
      </c>
      <c r="Q15" s="152" t="str">
        <f>_xlfn.IFERROR(Table4[[#This Row],[Total electric cost]]/Table4[[#This Row],[Electric kWh usage]],"")</f>
        <v/>
      </c>
      <c r="R15" s="152" t="str">
        <f>_xlfn.IFERROR(Table4[[#This Row],[Electric Demand Cost]]/Table4[[#This Row],[Total Electric Demand (Billed)]],_xlfn.IFERROR(Table4[[#This Row],[Electric Demand Cost]]/Table4[[#This Row],[Total Electric Demand (Actual)]],""))</f>
        <v/>
      </c>
      <c r="S15" s="103" t="str">
        <f>_xlfn.IFERROR(Table4[[#This Row],[Total Gas cost]]+Table4[[#This Row],[Total electric cost]],"")</f>
        <v/>
      </c>
      <c r="T15" s="112"/>
      <c r="U15" s="103" t="str">
        <f>_xlfn.IFERROR(Table4[[#This Row],[Total Energy Cost]]/Table4[[#This Row],[Monthly Flow]],"")</f>
        <v/>
      </c>
      <c r="V15" s="103" t="str">
        <f>_xlfn.IFERROR(Table4[[#This Row],[Total Energy Cost]]/Table4[[#This Row],[Total BOD removed]],"")</f>
        <v/>
      </c>
      <c r="W15" s="362"/>
      <c r="X15" s="104" t="str">
        <f>IF('Process Data Entry'!G17="","",'Process Data Entry'!G17)</f>
        <v/>
      </c>
      <c r="Y15" s="104" t="str">
        <f>IF('Process Data Entry'!H17="","",'Process Data Entry'!H17)</f>
        <v/>
      </c>
      <c r="Z15" s="104">
        <f>IF('Process Data Entry'!I17="",0,'Process Data Entry'!I17)</f>
        <v>0</v>
      </c>
      <c r="AA15" s="104" t="str">
        <f>IF('Process Data Entry'!J17="","",'Process Data Entry'!J17)</f>
        <v/>
      </c>
      <c r="AB15" s="104" t="str">
        <f>IF('Process Data Entry'!K17="","",'Process Data Entry'!K17)</f>
        <v/>
      </c>
      <c r="AC15" s="104" t="str">
        <f>IF('Process Data Entry'!L17="","",'Process Data Entry'!L17)</f>
        <v/>
      </c>
      <c r="AD15" s="363" t="str">
        <f t="shared" si="0"/>
        <v/>
      </c>
      <c r="AE15" s="363" t="str">
        <f t="shared" si="1"/>
        <v/>
      </c>
      <c r="AF15" s="364" t="str">
        <f>IF('Process Data Entry'!M17="","",'Process Data Entry'!M17)</f>
        <v/>
      </c>
      <c r="AG15" s="364" t="str">
        <f>IF('Process Data Entry'!N17="","",'Process Data Entry'!N17)</f>
        <v/>
      </c>
      <c r="AH15" s="99" t="str">
        <f t="shared" si="2"/>
        <v/>
      </c>
    </row>
    <row r="16" spans="1:34" ht="15">
      <c r="A16" s="89">
        <v>2</v>
      </c>
      <c r="B16" s="90">
        <f>'Energy Data Entry'!B37</f>
        <v>43313</v>
      </c>
      <c r="C16" s="365" t="str">
        <f>IF(OR('Process Data Entry'!C18="",'Process Data Entry'!C18=0),"",'Process Data Entry'!C18)</f>
        <v/>
      </c>
      <c r="D16" s="91" t="str">
        <f>IF(Table4[[#This Row],[Avg Daily Flow]]="","",_xlfn.DAYS(EOMONTH(B16,0),EOMONTH(B16,-1))*C16)</f>
        <v/>
      </c>
      <c r="E16" s="91" t="str">
        <f>IF('Process Data Entry'!F18="","",'Process Data Entry'!F18)</f>
        <v/>
      </c>
      <c r="F16" s="92" t="str">
        <f>IF(Table4[[#This Row],[BOD removed]]="","",Table4[[#This Row],[BOD removed]]*_xlfn.DAYS(EOMONTH(Table4[[#This Row],[Column2]],0),EOMONTH(Table4[[#This Row],[Column2]],-1)))</f>
        <v/>
      </c>
      <c r="G16" s="93" t="str">
        <f>IF(SUM('Energy Data Entry'!C37,'Energy Data Entry'!H37,'Energy Data Entry'!M37,'Energy Data Entry'!R37,'Energy Data Entry'!W37)=0,"",SUM('Energy Data Entry'!C37,'Energy Data Entry'!H37,'Energy Data Entry'!M37,'Energy Data Entry'!R37,'Energy Data Entry'!W37))</f>
        <v/>
      </c>
      <c r="H16" s="93">
        <f>'Energy Data Entry'!AG37</f>
        <v>0</v>
      </c>
      <c r="I16" s="93" t="str">
        <f>IF(Table4[[#This Row],[Electric kWh usage]]="","",Table4[[#This Row],[Gas kWh usage]]+Table4[[#This Row],[Electric kWh usage]])</f>
        <v/>
      </c>
      <c r="J16" s="92" t="str">
        <f>IF(OR(Table4[[#This Row],[Electric kWh usage]]="",Table4[[#This Row],[Monthly Flow]]=""),"",(Table4[[#This Row],[Electric kWh usage]]+Table4[[#This Row],[Gas kWh usage]])/Table4[[#This Row],[Monthly Flow]])</f>
        <v/>
      </c>
      <c r="K16" s="94" t="str">
        <f>_xlfn.IFERROR(IF(Table4[[#This Row],[Electric kWh usage]]="","",(Table4[[#This Row],[Electric kWh usage]]+Table4[[#This Row],[Gas kWh usage]])/Table4[[#This Row],[Total BOD removed]]),"")</f>
        <v/>
      </c>
      <c r="L16" s="93" t="str">
        <f>IF('Energy Data Entry'!E37+'Energy Data Entry'!J37+'Energy Data Entry'!O37+'Energy Data Entry'!T37+'Energy Data Entry'!Y37=0,"",'Energy Data Entry'!E37+'Energy Data Entry'!J37+'Energy Data Entry'!O37+'Energy Data Entry'!T37+'Energy Data Entry'!Y37)</f>
        <v/>
      </c>
      <c r="M16" s="93" t="str">
        <f>IF('Energy Data Entry'!F37+'Energy Data Entry'!K37+'Energy Data Entry'!P37++'Energy Data Entry'!U37+'Energy Data Entry'!Z37=0,"",'Energy Data Entry'!F37+'Energy Data Entry'!K37+'Energy Data Entry'!P37++'Energy Data Entry'!U37+'Energy Data Entry'!Z37)</f>
        <v/>
      </c>
      <c r="N16" s="95" t="str">
        <f>IF('Energy Data Entry'!G37+'Energy Data Entry'!L37+'Energy Data Entry'!Q37+'Energy Data Entry'!V37+'Energy Data Entry'!AA37=0,"",'Energy Data Entry'!G37+'Energy Data Entry'!L37+'Energy Data Entry'!Q37+'Energy Data Entry'!V37+'Energy Data Entry'!AA37)</f>
        <v/>
      </c>
      <c r="O16" s="95" t="str">
        <f>IF('Energy Data Entry'!D37+'Energy Data Entry'!I37+'Energy Data Entry'!N37+'Energy Data Entry'!S37+'Energy Data Entry'!X37=0,"",'Energy Data Entry'!D37+'Energy Data Entry'!I37+'Energy Data Entry'!N37+'Energy Data Entry'!S37+'Energy Data Entry'!X37)</f>
        <v/>
      </c>
      <c r="P16" s="414">
        <f>'Energy Data Entry'!AF37</f>
        <v>0</v>
      </c>
      <c r="Q16" s="153" t="str">
        <f>_xlfn.IFERROR(Table4[[#This Row],[Total electric cost]]/Table4[[#This Row],[Electric kWh usage]],"")</f>
        <v/>
      </c>
      <c r="R16" s="153" t="str">
        <f>_xlfn.IFERROR(Table4[[#This Row],[Electric Demand Cost]]/Table4[[#This Row],[Total Electric Demand (Billed)]],_xlfn.IFERROR(Table4[[#This Row],[Electric Demand Cost]]/Table4[[#This Row],[Total Electric Demand (Actual)]],""))</f>
        <v/>
      </c>
      <c r="S16" s="95" t="str">
        <f>_xlfn.IFERROR(Table4[[#This Row],[Total Gas cost]]+Table4[[#This Row],[Total electric cost]],"")</f>
        <v/>
      </c>
      <c r="T16" s="113"/>
      <c r="U16" s="95" t="str">
        <f>_xlfn.IFERROR(Table4[[#This Row],[Total Energy Cost]]/Table4[[#This Row],[Monthly Flow]],"")</f>
        <v/>
      </c>
      <c r="V16" s="95" t="str">
        <f>_xlfn.IFERROR(Table4[[#This Row],[Total Energy Cost]]/Table4[[#This Row],[Total BOD removed]],"")</f>
        <v/>
      </c>
      <c r="W16" s="116"/>
      <c r="X16" s="96" t="str">
        <f>IF('Process Data Entry'!G18="","",'Process Data Entry'!G18)</f>
        <v/>
      </c>
      <c r="Y16" s="96" t="str">
        <f>IF('Process Data Entry'!H18="","",'Process Data Entry'!H18)</f>
        <v/>
      </c>
      <c r="Z16" s="96">
        <f>IF('Process Data Entry'!I18="",0,'Process Data Entry'!I18)</f>
        <v>0</v>
      </c>
      <c r="AA16" s="96" t="str">
        <f>IF('Process Data Entry'!J18="","",'Process Data Entry'!J18)</f>
        <v/>
      </c>
      <c r="AB16" s="96" t="str">
        <f>IF('Process Data Entry'!K18="","",'Process Data Entry'!K18)</f>
        <v/>
      </c>
      <c r="AC16" s="96" t="str">
        <f>IF('Process Data Entry'!L18="","",'Process Data Entry'!L18)</f>
        <v/>
      </c>
      <c r="AD16" s="366" t="str">
        <f t="shared" si="0"/>
        <v/>
      </c>
      <c r="AE16" s="366" t="str">
        <f t="shared" si="1"/>
        <v/>
      </c>
      <c r="AF16" s="367" t="str">
        <f>IF('Process Data Entry'!M18="","",'Process Data Entry'!M18)</f>
        <v/>
      </c>
      <c r="AG16" s="367" t="str">
        <f>IF('Process Data Entry'!N18="","",'Process Data Entry'!N18)</f>
        <v/>
      </c>
      <c r="AH16" s="91" t="str">
        <f t="shared" si="2"/>
        <v/>
      </c>
    </row>
    <row r="17" spans="1:34" ht="15">
      <c r="A17" s="78">
        <v>2</v>
      </c>
      <c r="B17" s="79">
        <f>'Energy Data Entry'!B38</f>
        <v>43344</v>
      </c>
      <c r="C17" s="80" t="str">
        <f>IF(OR('Process Data Entry'!C19="",'Process Data Entry'!C19=0),"",'Process Data Entry'!C19)</f>
        <v/>
      </c>
      <c r="D17" s="81" t="str">
        <f>IF(Table4[[#This Row],[Avg Daily Flow]]="","",_xlfn.DAYS(EOMONTH(B17,0),EOMONTH(B17,-1))*C17)</f>
        <v/>
      </c>
      <c r="E17" s="81" t="str">
        <f>IF('Process Data Entry'!F19="","",'Process Data Entry'!F19)</f>
        <v/>
      </c>
      <c r="F17" s="82" t="str">
        <f>IF(Table4[[#This Row],[BOD removed]]="","",Table4[[#This Row],[BOD removed]]*_xlfn.DAYS(EOMONTH(Table4[[#This Row],[Column2]],0),EOMONTH(Table4[[#This Row],[Column2]],-1)))</f>
        <v/>
      </c>
      <c r="G17" s="83" t="str">
        <f>IF(SUM('Energy Data Entry'!C38,'Energy Data Entry'!H38,'Energy Data Entry'!M38,'Energy Data Entry'!R38,'Energy Data Entry'!W38)=0,"",SUM('Energy Data Entry'!C38,'Energy Data Entry'!H38,'Energy Data Entry'!M38,'Energy Data Entry'!R38,'Energy Data Entry'!W38))</f>
        <v/>
      </c>
      <c r="H17" s="83">
        <f>'Energy Data Entry'!AG38</f>
        <v>0</v>
      </c>
      <c r="I17" s="83" t="str">
        <f>IF(Table4[[#This Row],[Electric kWh usage]]="","",Table4[[#This Row],[Gas kWh usage]]+Table4[[#This Row],[Electric kWh usage]])</f>
        <v/>
      </c>
      <c r="J17" s="82" t="str">
        <f>IF(OR(Table4[[#This Row],[Electric kWh usage]]="",Table4[[#This Row],[Monthly Flow]]=""),"",(Table4[[#This Row],[Electric kWh usage]]+Table4[[#This Row],[Gas kWh usage]])/Table4[[#This Row],[Monthly Flow]])</f>
        <v/>
      </c>
      <c r="K17" s="84" t="str">
        <f>_xlfn.IFERROR(IF(Table4[[#This Row],[Electric kWh usage]]="","",(Table4[[#This Row],[Electric kWh usage]]+Table4[[#This Row],[Gas kWh usage]])/Table4[[#This Row],[Total BOD removed]]),"")</f>
        <v/>
      </c>
      <c r="L17" s="83" t="str">
        <f>IF('Energy Data Entry'!E38+'Energy Data Entry'!J38+'Energy Data Entry'!O38+'Energy Data Entry'!T38+'Energy Data Entry'!Y38=0,"",'Energy Data Entry'!E38+'Energy Data Entry'!J38+'Energy Data Entry'!O38+'Energy Data Entry'!T38+'Energy Data Entry'!Y38)</f>
        <v/>
      </c>
      <c r="M17" s="83" t="str">
        <f>IF('Energy Data Entry'!F38+'Energy Data Entry'!K38+'Energy Data Entry'!P38++'Energy Data Entry'!U38+'Energy Data Entry'!Z38=0,"",'Energy Data Entry'!F38+'Energy Data Entry'!K38+'Energy Data Entry'!P38++'Energy Data Entry'!U38+'Energy Data Entry'!Z38)</f>
        <v/>
      </c>
      <c r="N17" s="85" t="str">
        <f>IF('Energy Data Entry'!G38+'Energy Data Entry'!L38+'Energy Data Entry'!Q38+'Energy Data Entry'!V38+'Energy Data Entry'!AA38=0,"",'Energy Data Entry'!G38+'Energy Data Entry'!L38+'Energy Data Entry'!Q38+'Energy Data Entry'!V38+'Energy Data Entry'!AA38)</f>
        <v/>
      </c>
      <c r="O17" s="85" t="str">
        <f>IF('Energy Data Entry'!D38+'Energy Data Entry'!I38+'Energy Data Entry'!N38+'Energy Data Entry'!S38+'Energy Data Entry'!X38=0,"",'Energy Data Entry'!D38+'Energy Data Entry'!I38+'Energy Data Entry'!N38+'Energy Data Entry'!S38+'Energy Data Entry'!X38)</f>
        <v/>
      </c>
      <c r="P17" s="412">
        <f>'Energy Data Entry'!AF38</f>
        <v>0</v>
      </c>
      <c r="Q17" s="151" t="str">
        <f>_xlfn.IFERROR(Table4[[#This Row],[Total electric cost]]/Table4[[#This Row],[Electric kWh usage]],"")</f>
        <v/>
      </c>
      <c r="R17" s="151" t="str">
        <f>_xlfn.IFERROR(Table4[[#This Row],[Electric Demand Cost]]/Table4[[#This Row],[Total Electric Demand (Billed)]],_xlfn.IFERROR(Table4[[#This Row],[Electric Demand Cost]]/Table4[[#This Row],[Total Electric Demand (Actual)]],""))</f>
        <v/>
      </c>
      <c r="S17" s="85" t="str">
        <f>_xlfn.IFERROR(Table4[[#This Row],[Total Gas cost]]+Table4[[#This Row],[Total electric cost]],"")</f>
        <v/>
      </c>
      <c r="T17" s="111"/>
      <c r="U17" s="85" t="str">
        <f>_xlfn.IFERROR(Table4[[#This Row],[Total Energy Cost]]/Table4[[#This Row],[Monthly Flow]],"")</f>
        <v/>
      </c>
      <c r="V17" s="85" t="str">
        <f>_xlfn.IFERROR(Table4[[#This Row],[Total Energy Cost]]/Table4[[#This Row],[Total BOD removed]],"")</f>
        <v/>
      </c>
      <c r="W17" s="116"/>
      <c r="X17" s="86" t="str">
        <f>IF('Process Data Entry'!G19="","",'Process Data Entry'!G19)</f>
        <v/>
      </c>
      <c r="Y17" s="86" t="str">
        <f>IF('Process Data Entry'!H19="","",'Process Data Entry'!H19)</f>
        <v/>
      </c>
      <c r="Z17" s="86">
        <f>IF('Process Data Entry'!I19="",0,'Process Data Entry'!I19)</f>
        <v>0</v>
      </c>
      <c r="AA17" s="86" t="str">
        <f>IF('Process Data Entry'!J19="","",'Process Data Entry'!J19)</f>
        <v/>
      </c>
      <c r="AB17" s="86" t="str">
        <f>IF('Process Data Entry'!K19="","",'Process Data Entry'!K19)</f>
        <v/>
      </c>
      <c r="AC17" s="86" t="str">
        <f>IF('Process Data Entry'!L19="","",'Process Data Entry'!L19)</f>
        <v/>
      </c>
      <c r="AD17" s="87" t="str">
        <f t="shared" si="0"/>
        <v/>
      </c>
      <c r="AE17" s="87" t="str">
        <f t="shared" si="1"/>
        <v/>
      </c>
      <c r="AF17" s="150" t="str">
        <f>IF('Process Data Entry'!M19="","",'Process Data Entry'!M19)</f>
        <v/>
      </c>
      <c r="AG17" s="150" t="str">
        <f>IF('Process Data Entry'!N19="","",'Process Data Entry'!N19)</f>
        <v/>
      </c>
      <c r="AH17" s="81" t="str">
        <f t="shared" si="2"/>
        <v/>
      </c>
    </row>
    <row r="18" spans="1:34" ht="15">
      <c r="A18" s="78">
        <v>2</v>
      </c>
      <c r="B18" s="79">
        <f>'Energy Data Entry'!B39</f>
        <v>43374</v>
      </c>
      <c r="C18" s="80" t="str">
        <f>IF(OR('Process Data Entry'!C20="",'Process Data Entry'!C20=0),"",'Process Data Entry'!C20)</f>
        <v/>
      </c>
      <c r="D18" s="81" t="str">
        <f>IF(Table4[[#This Row],[Avg Daily Flow]]="","",_xlfn.DAYS(EOMONTH(B18,0),EOMONTH(B18,-1))*C18)</f>
        <v/>
      </c>
      <c r="E18" s="81" t="str">
        <f>IF('Process Data Entry'!F20="","",'Process Data Entry'!F20)</f>
        <v/>
      </c>
      <c r="F18" s="82" t="str">
        <f>IF(Table4[[#This Row],[BOD removed]]="","",Table4[[#This Row],[BOD removed]]*_xlfn.DAYS(EOMONTH(Table4[[#This Row],[Column2]],0),EOMONTH(Table4[[#This Row],[Column2]],-1)))</f>
        <v/>
      </c>
      <c r="G18" s="83" t="str">
        <f>IF(SUM('Energy Data Entry'!C39,'Energy Data Entry'!H39,'Energy Data Entry'!M39,'Energy Data Entry'!R39,'Energy Data Entry'!W39)=0,"",SUM('Energy Data Entry'!C39,'Energy Data Entry'!H39,'Energy Data Entry'!M39,'Energy Data Entry'!R39,'Energy Data Entry'!W39))</f>
        <v/>
      </c>
      <c r="H18" s="83">
        <f>'Energy Data Entry'!AG39</f>
        <v>0</v>
      </c>
      <c r="I18" s="83" t="str">
        <f>IF(Table4[[#This Row],[Electric kWh usage]]="","",Table4[[#This Row],[Gas kWh usage]]+Table4[[#This Row],[Electric kWh usage]])</f>
        <v/>
      </c>
      <c r="J18" s="82" t="str">
        <f>IF(OR(Table4[[#This Row],[Electric kWh usage]]="",Table4[[#This Row],[Monthly Flow]]=""),"",(Table4[[#This Row],[Electric kWh usage]]+Table4[[#This Row],[Gas kWh usage]])/Table4[[#This Row],[Monthly Flow]])</f>
        <v/>
      </c>
      <c r="K18" s="84" t="str">
        <f>_xlfn.IFERROR(IF(Table4[[#This Row],[Electric kWh usage]]="","",(Table4[[#This Row],[Electric kWh usage]]+Table4[[#This Row],[Gas kWh usage]])/Table4[[#This Row],[Total BOD removed]]),"")</f>
        <v/>
      </c>
      <c r="L18" s="83" t="str">
        <f>IF('Energy Data Entry'!E39+'Energy Data Entry'!J39+'Energy Data Entry'!O39+'Energy Data Entry'!T39+'Energy Data Entry'!Y39=0,"",'Energy Data Entry'!E39+'Energy Data Entry'!J39+'Energy Data Entry'!O39+'Energy Data Entry'!T39+'Energy Data Entry'!Y39)</f>
        <v/>
      </c>
      <c r="M18" s="83" t="str">
        <f>IF('Energy Data Entry'!F39+'Energy Data Entry'!K39+'Energy Data Entry'!P39++'Energy Data Entry'!U39+'Energy Data Entry'!Z39=0,"",'Energy Data Entry'!F39+'Energy Data Entry'!K39+'Energy Data Entry'!P39++'Energy Data Entry'!U39+'Energy Data Entry'!Z39)</f>
        <v/>
      </c>
      <c r="N18" s="85" t="str">
        <f>IF('Energy Data Entry'!G39+'Energy Data Entry'!L39+'Energy Data Entry'!Q39+'Energy Data Entry'!V39+'Energy Data Entry'!AA39=0,"",'Energy Data Entry'!G39+'Energy Data Entry'!L39+'Energy Data Entry'!Q39+'Energy Data Entry'!V39+'Energy Data Entry'!AA39)</f>
        <v/>
      </c>
      <c r="O18" s="85" t="str">
        <f>IF('Energy Data Entry'!D39+'Energy Data Entry'!I39+'Energy Data Entry'!N39+'Energy Data Entry'!S39+'Energy Data Entry'!X39=0,"",'Energy Data Entry'!D39+'Energy Data Entry'!I39+'Energy Data Entry'!N39+'Energy Data Entry'!S39+'Energy Data Entry'!X39)</f>
        <v/>
      </c>
      <c r="P18" s="412">
        <f>'Energy Data Entry'!AF39</f>
        <v>0</v>
      </c>
      <c r="Q18" s="151" t="str">
        <f>_xlfn.IFERROR(Table4[[#This Row],[Total electric cost]]/Table4[[#This Row],[Electric kWh usage]],"")</f>
        <v/>
      </c>
      <c r="R18" s="151" t="str">
        <f>_xlfn.IFERROR(Table4[[#This Row],[Electric Demand Cost]]/Table4[[#This Row],[Total Electric Demand (Billed)]],_xlfn.IFERROR(Table4[[#This Row],[Electric Demand Cost]]/Table4[[#This Row],[Total Electric Demand (Actual)]],""))</f>
        <v/>
      </c>
      <c r="S18" s="85" t="str">
        <f>_xlfn.IFERROR(Table4[[#This Row],[Total Gas cost]]+Table4[[#This Row],[Total electric cost]],"")</f>
        <v/>
      </c>
      <c r="T18" s="111"/>
      <c r="U18" s="85" t="str">
        <f>_xlfn.IFERROR(Table4[[#This Row],[Total Energy Cost]]/Table4[[#This Row],[Monthly Flow]],"")</f>
        <v/>
      </c>
      <c r="V18" s="85" t="str">
        <f>_xlfn.IFERROR(Table4[[#This Row],[Total Energy Cost]]/Table4[[#This Row],[Total BOD removed]],"")</f>
        <v/>
      </c>
      <c r="W18" s="116"/>
      <c r="X18" s="86" t="str">
        <f>IF('Process Data Entry'!G20="","",'Process Data Entry'!G20)</f>
        <v/>
      </c>
      <c r="Y18" s="86" t="str">
        <f>IF('Process Data Entry'!H20="","",'Process Data Entry'!H20)</f>
        <v/>
      </c>
      <c r="Z18" s="86">
        <f>IF('Process Data Entry'!I20="",0,'Process Data Entry'!I20)</f>
        <v>0</v>
      </c>
      <c r="AA18" s="86" t="str">
        <f>IF('Process Data Entry'!J20="","",'Process Data Entry'!J20)</f>
        <v/>
      </c>
      <c r="AB18" s="86" t="str">
        <f>IF('Process Data Entry'!K20="","",'Process Data Entry'!K20)</f>
        <v/>
      </c>
      <c r="AC18" s="86" t="str">
        <f>IF('Process Data Entry'!L20="","",'Process Data Entry'!L20)</f>
        <v/>
      </c>
      <c r="AD18" s="87" t="str">
        <f t="shared" si="0"/>
        <v/>
      </c>
      <c r="AE18" s="87" t="str">
        <f t="shared" si="1"/>
        <v/>
      </c>
      <c r="AF18" s="150" t="str">
        <f>IF('Process Data Entry'!M20="","",'Process Data Entry'!M20)</f>
        <v/>
      </c>
      <c r="AG18" s="150" t="str">
        <f>IF('Process Data Entry'!N20="","",'Process Data Entry'!N20)</f>
        <v/>
      </c>
      <c r="AH18" s="81" t="str">
        <f t="shared" si="2"/>
        <v/>
      </c>
    </row>
    <row r="19" spans="1:34" ht="15">
      <c r="A19" s="78">
        <v>2</v>
      </c>
      <c r="B19" s="79">
        <f>'Energy Data Entry'!B40</f>
        <v>43405</v>
      </c>
      <c r="C19" s="80" t="str">
        <f>IF(OR('Process Data Entry'!C21="",'Process Data Entry'!C21=0),"",'Process Data Entry'!C21)</f>
        <v/>
      </c>
      <c r="D19" s="81" t="str">
        <f>IF(Table4[[#This Row],[Avg Daily Flow]]="","",_xlfn.DAYS(EOMONTH(B19,0),EOMONTH(B19,-1))*C19)</f>
        <v/>
      </c>
      <c r="E19" s="81" t="str">
        <f>IF('Process Data Entry'!F21="","",'Process Data Entry'!F21)</f>
        <v/>
      </c>
      <c r="F19" s="82" t="str">
        <f>IF(Table4[[#This Row],[BOD removed]]="","",Table4[[#This Row],[BOD removed]]*_xlfn.DAYS(EOMONTH(Table4[[#This Row],[Column2]],0),EOMONTH(Table4[[#This Row],[Column2]],-1)))</f>
        <v/>
      </c>
      <c r="G19" s="83" t="str">
        <f>IF(SUM('Energy Data Entry'!C40,'Energy Data Entry'!H40,'Energy Data Entry'!M40,'Energy Data Entry'!R40,'Energy Data Entry'!W40)=0,"",SUM('Energy Data Entry'!C40,'Energy Data Entry'!H40,'Energy Data Entry'!M40,'Energy Data Entry'!R40,'Energy Data Entry'!W40))</f>
        <v/>
      </c>
      <c r="H19" s="83">
        <f>'Energy Data Entry'!AG40</f>
        <v>0</v>
      </c>
      <c r="I19" s="83" t="str">
        <f>IF(Table4[[#This Row],[Electric kWh usage]]="","",Table4[[#This Row],[Gas kWh usage]]+Table4[[#This Row],[Electric kWh usage]])</f>
        <v/>
      </c>
      <c r="J19" s="82" t="str">
        <f>IF(OR(Table4[[#This Row],[Electric kWh usage]]="",Table4[[#This Row],[Monthly Flow]]=""),"",(Table4[[#This Row],[Electric kWh usage]]+Table4[[#This Row],[Gas kWh usage]])/Table4[[#This Row],[Monthly Flow]])</f>
        <v/>
      </c>
      <c r="K19" s="84" t="str">
        <f>_xlfn.IFERROR(IF(Table4[[#This Row],[Electric kWh usage]]="","",(Table4[[#This Row],[Electric kWh usage]]+Table4[[#This Row],[Gas kWh usage]])/Table4[[#This Row],[Total BOD removed]]),"")</f>
        <v/>
      </c>
      <c r="L19" s="83" t="str">
        <f>IF('Energy Data Entry'!E40+'Energy Data Entry'!J40+'Energy Data Entry'!O40+'Energy Data Entry'!T40+'Energy Data Entry'!Y40=0,"",'Energy Data Entry'!E40+'Energy Data Entry'!J40+'Energy Data Entry'!O40+'Energy Data Entry'!T40+'Energy Data Entry'!Y40)</f>
        <v/>
      </c>
      <c r="M19" s="83" t="str">
        <f>IF('Energy Data Entry'!F40+'Energy Data Entry'!K40+'Energy Data Entry'!P40++'Energy Data Entry'!U40+'Energy Data Entry'!Z40=0,"",'Energy Data Entry'!F40+'Energy Data Entry'!K40+'Energy Data Entry'!P40++'Energy Data Entry'!U40+'Energy Data Entry'!Z40)</f>
        <v/>
      </c>
      <c r="N19" s="85" t="str">
        <f>IF('Energy Data Entry'!G40+'Energy Data Entry'!L40+'Energy Data Entry'!Q40+'Energy Data Entry'!V40+'Energy Data Entry'!AA40=0,"",'Energy Data Entry'!G40+'Energy Data Entry'!L40+'Energy Data Entry'!Q40+'Energy Data Entry'!V40+'Energy Data Entry'!AA40)</f>
        <v/>
      </c>
      <c r="O19" s="85" t="str">
        <f>IF('Energy Data Entry'!D40+'Energy Data Entry'!I40+'Energy Data Entry'!N40+'Energy Data Entry'!S40+'Energy Data Entry'!X40=0,"",'Energy Data Entry'!D40+'Energy Data Entry'!I40+'Energy Data Entry'!N40+'Energy Data Entry'!S40+'Energy Data Entry'!X40)</f>
        <v/>
      </c>
      <c r="P19" s="412">
        <f>'Energy Data Entry'!AF40</f>
        <v>0</v>
      </c>
      <c r="Q19" s="151" t="str">
        <f>_xlfn.IFERROR(Table4[[#This Row],[Total electric cost]]/Table4[[#This Row],[Electric kWh usage]],"")</f>
        <v/>
      </c>
      <c r="R19" s="151" t="str">
        <f>_xlfn.IFERROR(Table4[[#This Row],[Electric Demand Cost]]/Table4[[#This Row],[Total Electric Demand (Billed)]],_xlfn.IFERROR(Table4[[#This Row],[Electric Demand Cost]]/Table4[[#This Row],[Total Electric Demand (Actual)]],""))</f>
        <v/>
      </c>
      <c r="S19" s="85" t="str">
        <f>_xlfn.IFERROR(Table4[[#This Row],[Total Gas cost]]+Table4[[#This Row],[Total electric cost]],"")</f>
        <v/>
      </c>
      <c r="T19" s="111"/>
      <c r="U19" s="85" t="str">
        <f>_xlfn.IFERROR(Table4[[#This Row],[Total Energy Cost]]/Table4[[#This Row],[Monthly Flow]],"")</f>
        <v/>
      </c>
      <c r="V19" s="85" t="str">
        <f>_xlfn.IFERROR(Table4[[#This Row],[Total Energy Cost]]/Table4[[#This Row],[Total BOD removed]],"")</f>
        <v/>
      </c>
      <c r="W19" s="116"/>
      <c r="X19" s="86" t="str">
        <f>IF('Process Data Entry'!G21="","",'Process Data Entry'!G21)</f>
        <v/>
      </c>
      <c r="Y19" s="86" t="str">
        <f>IF('Process Data Entry'!H21="","",'Process Data Entry'!H21)</f>
        <v/>
      </c>
      <c r="Z19" s="86">
        <f>IF('Process Data Entry'!I21="",0,'Process Data Entry'!I21)</f>
        <v>0</v>
      </c>
      <c r="AA19" s="86" t="str">
        <f>IF('Process Data Entry'!J21="","",'Process Data Entry'!J21)</f>
        <v/>
      </c>
      <c r="AB19" s="86" t="str">
        <f>IF('Process Data Entry'!K21="","",'Process Data Entry'!K21)</f>
        <v/>
      </c>
      <c r="AC19" s="86" t="str">
        <f>IF('Process Data Entry'!L21="","",'Process Data Entry'!L21)</f>
        <v/>
      </c>
      <c r="AD19" s="87" t="str">
        <f t="shared" si="0"/>
        <v/>
      </c>
      <c r="AE19" s="87" t="str">
        <f t="shared" si="1"/>
        <v/>
      </c>
      <c r="AF19" s="150" t="str">
        <f>IF('Process Data Entry'!M21="","",'Process Data Entry'!M21)</f>
        <v/>
      </c>
      <c r="AG19" s="150" t="str">
        <f>IF('Process Data Entry'!N21="","",'Process Data Entry'!N21)</f>
        <v/>
      </c>
      <c r="AH19" s="81" t="str">
        <f t="shared" si="2"/>
        <v/>
      </c>
    </row>
    <row r="20" spans="1:34" ht="15">
      <c r="A20" s="78">
        <v>2</v>
      </c>
      <c r="B20" s="79">
        <f>'Energy Data Entry'!B41</f>
        <v>43435</v>
      </c>
      <c r="C20" s="80" t="str">
        <f>IF(OR('Process Data Entry'!C22="",'Process Data Entry'!C22=0),"",'Process Data Entry'!C22)</f>
        <v/>
      </c>
      <c r="D20" s="81" t="str">
        <f>IF(Table4[[#This Row],[Avg Daily Flow]]="","",_xlfn.DAYS(EOMONTH(B20,0),EOMONTH(B20,-1))*C20)</f>
        <v/>
      </c>
      <c r="E20" s="81" t="str">
        <f>IF('Process Data Entry'!F22="","",'Process Data Entry'!F22)</f>
        <v/>
      </c>
      <c r="F20" s="82" t="str">
        <f>IF(Table4[[#This Row],[BOD removed]]="","",Table4[[#This Row],[BOD removed]]*_xlfn.DAYS(EOMONTH(Table4[[#This Row],[Column2]],0),EOMONTH(Table4[[#This Row],[Column2]],-1)))</f>
        <v/>
      </c>
      <c r="G20" s="83" t="str">
        <f>IF(SUM('Energy Data Entry'!C41,'Energy Data Entry'!H41,'Energy Data Entry'!M41,'Energy Data Entry'!R41,'Energy Data Entry'!W41)=0,"",SUM('Energy Data Entry'!C41,'Energy Data Entry'!H41,'Energy Data Entry'!M41,'Energy Data Entry'!R41,'Energy Data Entry'!W41))</f>
        <v/>
      </c>
      <c r="H20" s="83">
        <f>'Energy Data Entry'!AG41</f>
        <v>0</v>
      </c>
      <c r="I20" s="83" t="str">
        <f>IF(Table4[[#This Row],[Electric kWh usage]]="","",Table4[[#This Row],[Gas kWh usage]]+Table4[[#This Row],[Electric kWh usage]])</f>
        <v/>
      </c>
      <c r="J20" s="82" t="str">
        <f>IF(OR(Table4[[#This Row],[Electric kWh usage]]="",Table4[[#This Row],[Monthly Flow]]=""),"",(Table4[[#This Row],[Electric kWh usage]]+Table4[[#This Row],[Gas kWh usage]])/Table4[[#This Row],[Monthly Flow]])</f>
        <v/>
      </c>
      <c r="K20" s="84" t="str">
        <f>_xlfn.IFERROR(IF(Table4[[#This Row],[Electric kWh usage]]="","",(Table4[[#This Row],[Electric kWh usage]]+Table4[[#This Row],[Gas kWh usage]])/Table4[[#This Row],[Total BOD removed]]),"")</f>
        <v/>
      </c>
      <c r="L20" s="83" t="str">
        <f>IF('Energy Data Entry'!E41+'Energy Data Entry'!J41+'Energy Data Entry'!O41+'Energy Data Entry'!T41+'Energy Data Entry'!Y41=0,"",'Energy Data Entry'!E41+'Energy Data Entry'!J41+'Energy Data Entry'!O41+'Energy Data Entry'!T41+'Energy Data Entry'!Y41)</f>
        <v/>
      </c>
      <c r="M20" s="83" t="str">
        <f>IF('Energy Data Entry'!F41+'Energy Data Entry'!K41+'Energy Data Entry'!P41++'Energy Data Entry'!U41+'Energy Data Entry'!Z41=0,"",'Energy Data Entry'!F41+'Energy Data Entry'!K41+'Energy Data Entry'!P41++'Energy Data Entry'!U41+'Energy Data Entry'!Z41)</f>
        <v/>
      </c>
      <c r="N20" s="85" t="str">
        <f>IF('Energy Data Entry'!G41+'Energy Data Entry'!L41+'Energy Data Entry'!Q41+'Energy Data Entry'!V41+'Energy Data Entry'!AA41=0,"",'Energy Data Entry'!G41+'Energy Data Entry'!L41+'Energy Data Entry'!Q41+'Energy Data Entry'!V41+'Energy Data Entry'!AA41)</f>
        <v/>
      </c>
      <c r="O20" s="85" t="str">
        <f>IF('Energy Data Entry'!D41+'Energy Data Entry'!I41+'Energy Data Entry'!N41+'Energy Data Entry'!S41+'Energy Data Entry'!X41=0,"",'Energy Data Entry'!D41+'Energy Data Entry'!I41+'Energy Data Entry'!N41+'Energy Data Entry'!S41+'Energy Data Entry'!X41)</f>
        <v/>
      </c>
      <c r="P20" s="412">
        <f>'Energy Data Entry'!AF41</f>
        <v>0</v>
      </c>
      <c r="Q20" s="151" t="str">
        <f>_xlfn.IFERROR(Table4[[#This Row],[Total electric cost]]/Table4[[#This Row],[Electric kWh usage]],"")</f>
        <v/>
      </c>
      <c r="R20" s="151" t="str">
        <f>_xlfn.IFERROR(Table4[[#This Row],[Electric Demand Cost]]/Table4[[#This Row],[Total Electric Demand (Billed)]],_xlfn.IFERROR(Table4[[#This Row],[Electric Demand Cost]]/Table4[[#This Row],[Total Electric Demand (Actual)]],""))</f>
        <v/>
      </c>
      <c r="S20" s="85" t="str">
        <f>_xlfn.IFERROR(Table4[[#This Row],[Total Gas cost]]+Table4[[#This Row],[Total electric cost]],"")</f>
        <v/>
      </c>
      <c r="T20" s="111"/>
      <c r="U20" s="85" t="str">
        <f>_xlfn.IFERROR(Table4[[#This Row],[Total Energy Cost]]/Table4[[#This Row],[Monthly Flow]],"")</f>
        <v/>
      </c>
      <c r="V20" s="85" t="str">
        <f>_xlfn.IFERROR(Table4[[#This Row],[Total Energy Cost]]/Table4[[#This Row],[Total BOD removed]],"")</f>
        <v/>
      </c>
      <c r="W20" s="116"/>
      <c r="X20" s="86" t="str">
        <f>IF('Process Data Entry'!G22="","",'Process Data Entry'!G22)</f>
        <v/>
      </c>
      <c r="Y20" s="86" t="str">
        <f>IF('Process Data Entry'!H22="","",'Process Data Entry'!H22)</f>
        <v/>
      </c>
      <c r="Z20" s="86">
        <f>IF('Process Data Entry'!I22="",0,'Process Data Entry'!I22)</f>
        <v>0</v>
      </c>
      <c r="AA20" s="86" t="str">
        <f>IF('Process Data Entry'!J22="","",'Process Data Entry'!J22)</f>
        <v/>
      </c>
      <c r="AB20" s="86" t="str">
        <f>IF('Process Data Entry'!K22="","",'Process Data Entry'!K22)</f>
        <v/>
      </c>
      <c r="AC20" s="86" t="str">
        <f>IF('Process Data Entry'!L22="","",'Process Data Entry'!L22)</f>
        <v/>
      </c>
      <c r="AD20" s="87" t="str">
        <f t="shared" si="0"/>
        <v/>
      </c>
      <c r="AE20" s="87" t="str">
        <f t="shared" si="1"/>
        <v/>
      </c>
      <c r="AF20" s="150" t="str">
        <f>IF('Process Data Entry'!M22="","",'Process Data Entry'!M22)</f>
        <v/>
      </c>
      <c r="AG20" s="150" t="str">
        <f>IF('Process Data Entry'!N22="","",'Process Data Entry'!N22)</f>
        <v/>
      </c>
      <c r="AH20" s="81" t="str">
        <f t="shared" si="2"/>
        <v/>
      </c>
    </row>
    <row r="21" spans="1:34" ht="15">
      <c r="A21" s="78">
        <v>2</v>
      </c>
      <c r="B21" s="79">
        <f>'Energy Data Entry'!B42</f>
        <v>43466</v>
      </c>
      <c r="C21" s="80" t="str">
        <f>IF(OR('Process Data Entry'!C23="",'Process Data Entry'!C23=0),"",'Process Data Entry'!C23)</f>
        <v/>
      </c>
      <c r="D21" s="81" t="str">
        <f>IF(Table4[[#This Row],[Avg Daily Flow]]="","",_xlfn.DAYS(EOMONTH(B21,0),EOMONTH(B21,-1))*C21)</f>
        <v/>
      </c>
      <c r="E21" s="81" t="str">
        <f>IF('Process Data Entry'!F23="","",'Process Data Entry'!F23)</f>
        <v/>
      </c>
      <c r="F21" s="82" t="str">
        <f>IF(Table4[[#This Row],[BOD removed]]="","",Table4[[#This Row],[BOD removed]]*_xlfn.DAYS(EOMONTH(Table4[[#This Row],[Column2]],0),EOMONTH(Table4[[#This Row],[Column2]],-1)))</f>
        <v/>
      </c>
      <c r="G21" s="83" t="str">
        <f>IF(SUM('Energy Data Entry'!C42,'Energy Data Entry'!H42,'Energy Data Entry'!M42,'Energy Data Entry'!R42,'Energy Data Entry'!W42)=0,"",SUM('Energy Data Entry'!C42,'Energy Data Entry'!H42,'Energy Data Entry'!M42,'Energy Data Entry'!R42,'Energy Data Entry'!W42))</f>
        <v/>
      </c>
      <c r="H21" s="83">
        <f>'Energy Data Entry'!AG42</f>
        <v>0</v>
      </c>
      <c r="I21" s="83" t="str">
        <f>IF(Table4[[#This Row],[Electric kWh usage]]="","",Table4[[#This Row],[Gas kWh usage]]+Table4[[#This Row],[Electric kWh usage]])</f>
        <v/>
      </c>
      <c r="J21" s="82" t="str">
        <f>IF(OR(Table4[[#This Row],[Electric kWh usage]]="",Table4[[#This Row],[Monthly Flow]]=""),"",(Table4[[#This Row],[Electric kWh usage]]+Table4[[#This Row],[Gas kWh usage]])/Table4[[#This Row],[Monthly Flow]])</f>
        <v/>
      </c>
      <c r="K21" s="84" t="str">
        <f>_xlfn.IFERROR(IF(Table4[[#This Row],[Electric kWh usage]]="","",(Table4[[#This Row],[Electric kWh usage]]+Table4[[#This Row],[Gas kWh usage]])/Table4[[#This Row],[Total BOD removed]]),"")</f>
        <v/>
      </c>
      <c r="L21" s="83" t="str">
        <f>IF('Energy Data Entry'!E42+'Energy Data Entry'!J42+'Energy Data Entry'!O42+'Energy Data Entry'!T42+'Energy Data Entry'!Y42=0,"",'Energy Data Entry'!E42+'Energy Data Entry'!J42+'Energy Data Entry'!O42+'Energy Data Entry'!T42+'Energy Data Entry'!Y42)</f>
        <v/>
      </c>
      <c r="M21" s="83" t="str">
        <f>IF('Energy Data Entry'!F42+'Energy Data Entry'!K42+'Energy Data Entry'!P42++'Energy Data Entry'!U42+'Energy Data Entry'!Z42=0,"",'Energy Data Entry'!F42+'Energy Data Entry'!K42+'Energy Data Entry'!P42++'Energy Data Entry'!U42+'Energy Data Entry'!Z42)</f>
        <v/>
      </c>
      <c r="N21" s="85" t="str">
        <f>IF('Energy Data Entry'!G42+'Energy Data Entry'!L42+'Energy Data Entry'!Q42+'Energy Data Entry'!V42+'Energy Data Entry'!AA42=0,"",'Energy Data Entry'!G42+'Energy Data Entry'!L42+'Energy Data Entry'!Q42+'Energy Data Entry'!V42+'Energy Data Entry'!AA42)</f>
        <v/>
      </c>
      <c r="O21" s="85" t="str">
        <f>IF('Energy Data Entry'!D42+'Energy Data Entry'!I42+'Energy Data Entry'!N42+'Energy Data Entry'!S42+'Energy Data Entry'!X42=0,"",'Energy Data Entry'!D42+'Energy Data Entry'!I42+'Energy Data Entry'!N42+'Energy Data Entry'!S42+'Energy Data Entry'!X42)</f>
        <v/>
      </c>
      <c r="P21" s="412">
        <f>'Energy Data Entry'!AF42</f>
        <v>0</v>
      </c>
      <c r="Q21" s="151" t="str">
        <f>_xlfn.IFERROR(Table4[[#This Row],[Total electric cost]]/Table4[[#This Row],[Electric kWh usage]],"")</f>
        <v/>
      </c>
      <c r="R21" s="151" t="str">
        <f>_xlfn.IFERROR(Table4[[#This Row],[Electric Demand Cost]]/Table4[[#This Row],[Total Electric Demand (Billed)]],_xlfn.IFERROR(Table4[[#This Row],[Electric Demand Cost]]/Table4[[#This Row],[Total Electric Demand (Actual)]],""))</f>
        <v/>
      </c>
      <c r="S21" s="85" t="str">
        <f>_xlfn.IFERROR(Table4[[#This Row],[Total Gas cost]]+Table4[[#This Row],[Total electric cost]],"")</f>
        <v/>
      </c>
      <c r="T21" s="111"/>
      <c r="U21" s="85" t="str">
        <f>_xlfn.IFERROR(Table4[[#This Row],[Total Energy Cost]]/Table4[[#This Row],[Monthly Flow]],"")</f>
        <v/>
      </c>
      <c r="V21" s="85" t="str">
        <f>_xlfn.IFERROR(Table4[[#This Row],[Total Energy Cost]]/Table4[[#This Row],[Total BOD removed]],"")</f>
        <v/>
      </c>
      <c r="W21" s="116"/>
      <c r="X21" s="86" t="str">
        <f>IF('Process Data Entry'!G23="","",'Process Data Entry'!G23)</f>
        <v/>
      </c>
      <c r="Y21" s="86" t="str">
        <f>IF('Process Data Entry'!H23="","",'Process Data Entry'!H23)</f>
        <v/>
      </c>
      <c r="Z21" s="86">
        <f>IF('Process Data Entry'!I23="",0,'Process Data Entry'!I23)</f>
        <v>0</v>
      </c>
      <c r="AA21" s="86" t="str">
        <f>IF('Process Data Entry'!J23="","",'Process Data Entry'!J23)</f>
        <v/>
      </c>
      <c r="AB21" s="86" t="str">
        <f>IF('Process Data Entry'!K23="","",'Process Data Entry'!K23)</f>
        <v/>
      </c>
      <c r="AC21" s="86" t="str">
        <f>IF('Process Data Entry'!L23="","",'Process Data Entry'!L23)</f>
        <v/>
      </c>
      <c r="AD21" s="87" t="str">
        <f t="shared" si="0"/>
        <v/>
      </c>
      <c r="AE21" s="87" t="str">
        <f t="shared" si="1"/>
        <v/>
      </c>
      <c r="AF21" s="150" t="str">
        <f>IF('Process Data Entry'!M23="","",'Process Data Entry'!M23)</f>
        <v/>
      </c>
      <c r="AG21" s="150" t="str">
        <f>IF('Process Data Entry'!N23="","",'Process Data Entry'!N23)</f>
        <v/>
      </c>
      <c r="AH21" s="81" t="str">
        <f t="shared" si="2"/>
        <v/>
      </c>
    </row>
    <row r="22" spans="1:34" ht="15">
      <c r="A22" s="78">
        <v>2</v>
      </c>
      <c r="B22" s="79">
        <f>'Energy Data Entry'!B43</f>
        <v>43497</v>
      </c>
      <c r="C22" s="80" t="str">
        <f>IF(OR('Process Data Entry'!C24="",'Process Data Entry'!C24=0),"",'Process Data Entry'!C24)</f>
        <v/>
      </c>
      <c r="D22" s="81" t="str">
        <f>IF(Table4[[#This Row],[Avg Daily Flow]]="","",_xlfn.DAYS(EOMONTH(B22,0),EOMONTH(B22,-1))*C22)</f>
        <v/>
      </c>
      <c r="E22" s="81" t="str">
        <f>IF('Process Data Entry'!F24="","",'Process Data Entry'!F24)</f>
        <v/>
      </c>
      <c r="F22" s="82" t="str">
        <f>IF(Table4[[#This Row],[BOD removed]]="","",Table4[[#This Row],[BOD removed]]*_xlfn.DAYS(EOMONTH(Table4[[#This Row],[Column2]],0),EOMONTH(Table4[[#This Row],[Column2]],-1)))</f>
        <v/>
      </c>
      <c r="G22" s="83" t="str">
        <f>IF(SUM('Energy Data Entry'!C43,'Energy Data Entry'!H43,'Energy Data Entry'!M43,'Energy Data Entry'!R43,'Energy Data Entry'!W43)=0,"",SUM('Energy Data Entry'!C43,'Energy Data Entry'!H43,'Energy Data Entry'!M43,'Energy Data Entry'!R43,'Energy Data Entry'!W43))</f>
        <v/>
      </c>
      <c r="H22" s="83">
        <f>'Energy Data Entry'!AG43</f>
        <v>0</v>
      </c>
      <c r="I22" s="83" t="str">
        <f>IF(Table4[[#This Row],[Electric kWh usage]]="","",Table4[[#This Row],[Gas kWh usage]]+Table4[[#This Row],[Electric kWh usage]])</f>
        <v/>
      </c>
      <c r="J22" s="82" t="str">
        <f>IF(OR(Table4[[#This Row],[Electric kWh usage]]="",Table4[[#This Row],[Monthly Flow]]=""),"",(Table4[[#This Row],[Electric kWh usage]]+Table4[[#This Row],[Gas kWh usage]])/Table4[[#This Row],[Monthly Flow]])</f>
        <v/>
      </c>
      <c r="K22" s="84" t="str">
        <f>_xlfn.IFERROR(IF(Table4[[#This Row],[Electric kWh usage]]="","",(Table4[[#This Row],[Electric kWh usage]]+Table4[[#This Row],[Gas kWh usage]])/Table4[[#This Row],[Total BOD removed]]),"")</f>
        <v/>
      </c>
      <c r="L22" s="83" t="str">
        <f>IF('Energy Data Entry'!E43+'Energy Data Entry'!J43+'Energy Data Entry'!O43+'Energy Data Entry'!T43+'Energy Data Entry'!Y43=0,"",'Energy Data Entry'!E43+'Energy Data Entry'!J43+'Energy Data Entry'!O43+'Energy Data Entry'!T43+'Energy Data Entry'!Y43)</f>
        <v/>
      </c>
      <c r="M22" s="83" t="str">
        <f>IF('Energy Data Entry'!F43+'Energy Data Entry'!K43+'Energy Data Entry'!P43++'Energy Data Entry'!U43+'Energy Data Entry'!Z43=0,"",'Energy Data Entry'!F43+'Energy Data Entry'!K43+'Energy Data Entry'!P43++'Energy Data Entry'!U43+'Energy Data Entry'!Z43)</f>
        <v/>
      </c>
      <c r="N22" s="85" t="str">
        <f>IF('Energy Data Entry'!G43+'Energy Data Entry'!L43+'Energy Data Entry'!Q43+'Energy Data Entry'!V43+'Energy Data Entry'!AA43=0,"",'Energy Data Entry'!G43+'Energy Data Entry'!L43+'Energy Data Entry'!Q43+'Energy Data Entry'!V43+'Energy Data Entry'!AA43)</f>
        <v/>
      </c>
      <c r="O22" s="85" t="str">
        <f>IF('Energy Data Entry'!D43+'Energy Data Entry'!I43+'Energy Data Entry'!N43+'Energy Data Entry'!S43+'Energy Data Entry'!X43=0,"",'Energy Data Entry'!D43+'Energy Data Entry'!I43+'Energy Data Entry'!N43+'Energy Data Entry'!S43+'Energy Data Entry'!X43)</f>
        <v/>
      </c>
      <c r="P22" s="412">
        <f>'Energy Data Entry'!AF43</f>
        <v>0</v>
      </c>
      <c r="Q22" s="151" t="str">
        <f>_xlfn.IFERROR(Table4[[#This Row],[Total electric cost]]/Table4[[#This Row],[Electric kWh usage]],"")</f>
        <v/>
      </c>
      <c r="R22" s="151" t="str">
        <f>_xlfn.IFERROR(Table4[[#This Row],[Electric Demand Cost]]/Table4[[#This Row],[Total Electric Demand (Billed)]],_xlfn.IFERROR(Table4[[#This Row],[Electric Demand Cost]]/Table4[[#This Row],[Total Electric Demand (Actual)]],""))</f>
        <v/>
      </c>
      <c r="S22" s="85" t="str">
        <f>_xlfn.IFERROR(Table4[[#This Row],[Total Gas cost]]+Table4[[#This Row],[Total electric cost]],"")</f>
        <v/>
      </c>
      <c r="T22" s="111"/>
      <c r="U22" s="85" t="str">
        <f>_xlfn.IFERROR(Table4[[#This Row],[Total Energy Cost]]/Table4[[#This Row],[Monthly Flow]],"")</f>
        <v/>
      </c>
      <c r="V22" s="85" t="str">
        <f>_xlfn.IFERROR(Table4[[#This Row],[Total Energy Cost]]/Table4[[#This Row],[Total BOD removed]],"")</f>
        <v/>
      </c>
      <c r="W22" s="116"/>
      <c r="X22" s="86" t="str">
        <f>IF('Process Data Entry'!G24="","",'Process Data Entry'!G24)</f>
        <v/>
      </c>
      <c r="Y22" s="86" t="str">
        <f>IF('Process Data Entry'!H24="","",'Process Data Entry'!H24)</f>
        <v/>
      </c>
      <c r="Z22" s="86">
        <f>IF('Process Data Entry'!I24="",0,'Process Data Entry'!I24)</f>
        <v>0</v>
      </c>
      <c r="AA22" s="86" t="str">
        <f>IF('Process Data Entry'!J24="","",'Process Data Entry'!J24)</f>
        <v/>
      </c>
      <c r="AB22" s="86" t="str">
        <f>IF('Process Data Entry'!K24="","",'Process Data Entry'!K24)</f>
        <v/>
      </c>
      <c r="AC22" s="86" t="str">
        <f>IF('Process Data Entry'!L24="","",'Process Data Entry'!L24)</f>
        <v/>
      </c>
      <c r="AD22" s="87" t="str">
        <f t="shared" si="0"/>
        <v/>
      </c>
      <c r="AE22" s="87" t="str">
        <f t="shared" si="1"/>
        <v/>
      </c>
      <c r="AF22" s="150" t="str">
        <f>IF('Process Data Entry'!M24="","",'Process Data Entry'!M24)</f>
        <v/>
      </c>
      <c r="AG22" s="150" t="str">
        <f>IF('Process Data Entry'!N24="","",'Process Data Entry'!N24)</f>
        <v/>
      </c>
      <c r="AH22" s="81" t="str">
        <f t="shared" si="2"/>
        <v/>
      </c>
    </row>
    <row r="23" spans="1:34" ht="15">
      <c r="A23" s="78">
        <v>2</v>
      </c>
      <c r="B23" s="79">
        <f>'Energy Data Entry'!B44</f>
        <v>43525</v>
      </c>
      <c r="C23" s="80" t="str">
        <f>IF(OR('Process Data Entry'!C25="",'Process Data Entry'!C25=0),"",'Process Data Entry'!C25)</f>
        <v/>
      </c>
      <c r="D23" s="81" t="str">
        <f>IF(Table4[[#This Row],[Avg Daily Flow]]="","",_xlfn.DAYS(EOMONTH(B23,0),EOMONTH(B23,-1))*C23)</f>
        <v/>
      </c>
      <c r="E23" s="81" t="str">
        <f>IF('Process Data Entry'!F25="","",'Process Data Entry'!F25)</f>
        <v/>
      </c>
      <c r="F23" s="82" t="str">
        <f>IF(Table4[[#This Row],[BOD removed]]="","",Table4[[#This Row],[BOD removed]]*_xlfn.DAYS(EOMONTH(Table4[[#This Row],[Column2]],0),EOMONTH(Table4[[#This Row],[Column2]],-1)))</f>
        <v/>
      </c>
      <c r="G23" s="83" t="str">
        <f>IF(SUM('Energy Data Entry'!C44,'Energy Data Entry'!H44,'Energy Data Entry'!M44,'Energy Data Entry'!R44,'Energy Data Entry'!W44)=0,"",SUM('Energy Data Entry'!C44,'Energy Data Entry'!H44,'Energy Data Entry'!M44,'Energy Data Entry'!R44,'Energy Data Entry'!W44))</f>
        <v/>
      </c>
      <c r="H23" s="83">
        <f>'Energy Data Entry'!AG44</f>
        <v>0</v>
      </c>
      <c r="I23" s="83" t="str">
        <f>IF(Table4[[#This Row],[Electric kWh usage]]="","",Table4[[#This Row],[Gas kWh usage]]+Table4[[#This Row],[Electric kWh usage]])</f>
        <v/>
      </c>
      <c r="J23" s="82" t="str">
        <f>IF(OR(Table4[[#This Row],[Electric kWh usage]]="",Table4[[#This Row],[Monthly Flow]]=""),"",(Table4[[#This Row],[Electric kWh usage]]+Table4[[#This Row],[Gas kWh usage]])/Table4[[#This Row],[Monthly Flow]])</f>
        <v/>
      </c>
      <c r="K23" s="84" t="str">
        <f>_xlfn.IFERROR(IF(Table4[[#This Row],[Electric kWh usage]]="","",(Table4[[#This Row],[Electric kWh usage]]+Table4[[#This Row],[Gas kWh usage]])/Table4[[#This Row],[Total BOD removed]]),"")</f>
        <v/>
      </c>
      <c r="L23" s="83" t="str">
        <f>IF('Energy Data Entry'!E44+'Energy Data Entry'!J44+'Energy Data Entry'!O44+'Energy Data Entry'!T44+'Energy Data Entry'!Y44=0,"",'Energy Data Entry'!E44+'Energy Data Entry'!J44+'Energy Data Entry'!O44+'Energy Data Entry'!T44+'Energy Data Entry'!Y44)</f>
        <v/>
      </c>
      <c r="M23" s="83" t="str">
        <f>IF('Energy Data Entry'!F44+'Energy Data Entry'!K44+'Energy Data Entry'!P44++'Energy Data Entry'!U44+'Energy Data Entry'!Z44=0,"",'Energy Data Entry'!F44+'Energy Data Entry'!K44+'Energy Data Entry'!P44++'Energy Data Entry'!U44+'Energy Data Entry'!Z44)</f>
        <v/>
      </c>
      <c r="N23" s="85" t="str">
        <f>IF('Energy Data Entry'!G44+'Energy Data Entry'!L44+'Energy Data Entry'!Q44+'Energy Data Entry'!V44+'Energy Data Entry'!AA44=0,"",'Energy Data Entry'!G44+'Energy Data Entry'!L44+'Energy Data Entry'!Q44+'Energy Data Entry'!V44+'Energy Data Entry'!AA44)</f>
        <v/>
      </c>
      <c r="O23" s="85" t="str">
        <f>IF('Energy Data Entry'!D44+'Energy Data Entry'!I44+'Energy Data Entry'!N44+'Energy Data Entry'!S44+'Energy Data Entry'!X44=0,"",'Energy Data Entry'!D44+'Energy Data Entry'!I44+'Energy Data Entry'!N44+'Energy Data Entry'!S44+'Energy Data Entry'!X44)</f>
        <v/>
      </c>
      <c r="P23" s="412">
        <f>'Energy Data Entry'!AF44</f>
        <v>0</v>
      </c>
      <c r="Q23" s="151" t="str">
        <f>_xlfn.IFERROR(Table4[[#This Row],[Total electric cost]]/Table4[[#This Row],[Electric kWh usage]],"")</f>
        <v/>
      </c>
      <c r="R23" s="151" t="str">
        <f>_xlfn.IFERROR(Table4[[#This Row],[Electric Demand Cost]]/Table4[[#This Row],[Total Electric Demand (Billed)]],_xlfn.IFERROR(Table4[[#This Row],[Electric Demand Cost]]/Table4[[#This Row],[Total Electric Demand (Actual)]],""))</f>
        <v/>
      </c>
      <c r="S23" s="85" t="str">
        <f>_xlfn.IFERROR(Table4[[#This Row],[Total Gas cost]]+Table4[[#This Row],[Total electric cost]],"")</f>
        <v/>
      </c>
      <c r="T23" s="111"/>
      <c r="U23" s="85" t="str">
        <f>_xlfn.IFERROR(Table4[[#This Row],[Total Energy Cost]]/Table4[[#This Row],[Monthly Flow]],"")</f>
        <v/>
      </c>
      <c r="V23" s="85" t="str">
        <f>_xlfn.IFERROR(Table4[[#This Row],[Total Energy Cost]]/Table4[[#This Row],[Total BOD removed]],"")</f>
        <v/>
      </c>
      <c r="W23" s="116"/>
      <c r="X23" s="86" t="str">
        <f>IF('Process Data Entry'!G25="","",'Process Data Entry'!G25)</f>
        <v/>
      </c>
      <c r="Y23" s="86" t="str">
        <f>IF('Process Data Entry'!H25="","",'Process Data Entry'!H25)</f>
        <v/>
      </c>
      <c r="Z23" s="86">
        <f>IF('Process Data Entry'!I25="",0,'Process Data Entry'!I25)</f>
        <v>0</v>
      </c>
      <c r="AA23" s="86" t="str">
        <f>IF('Process Data Entry'!J25="","",'Process Data Entry'!J25)</f>
        <v/>
      </c>
      <c r="AB23" s="86" t="str">
        <f>IF('Process Data Entry'!K25="","",'Process Data Entry'!K25)</f>
        <v/>
      </c>
      <c r="AC23" s="86" t="str">
        <f>IF('Process Data Entry'!L25="","",'Process Data Entry'!L25)</f>
        <v/>
      </c>
      <c r="AD23" s="87" t="str">
        <f t="shared" si="0"/>
        <v/>
      </c>
      <c r="AE23" s="87" t="str">
        <f t="shared" si="1"/>
        <v/>
      </c>
      <c r="AF23" s="150" t="str">
        <f>IF('Process Data Entry'!M25="","",'Process Data Entry'!M25)</f>
        <v/>
      </c>
      <c r="AG23" s="150" t="str">
        <f>IF('Process Data Entry'!N25="","",'Process Data Entry'!N25)</f>
        <v/>
      </c>
      <c r="AH23" s="81" t="str">
        <f t="shared" si="2"/>
        <v/>
      </c>
    </row>
    <row r="24" spans="1:34" ht="15">
      <c r="A24" s="78">
        <v>2</v>
      </c>
      <c r="B24" s="79">
        <f>'Energy Data Entry'!B45</f>
        <v>43556</v>
      </c>
      <c r="C24" s="80" t="str">
        <f>IF(OR('Process Data Entry'!C26="",'Process Data Entry'!C26=0),"",'Process Data Entry'!C26)</f>
        <v/>
      </c>
      <c r="D24" s="81" t="str">
        <f>IF(Table4[[#This Row],[Avg Daily Flow]]="","",_xlfn.DAYS(EOMONTH(B24,0),EOMONTH(B24,-1))*C24)</f>
        <v/>
      </c>
      <c r="E24" s="81" t="str">
        <f>IF('Process Data Entry'!F26="","",'Process Data Entry'!F26)</f>
        <v/>
      </c>
      <c r="F24" s="82" t="str">
        <f>IF(Table4[[#This Row],[BOD removed]]="","",Table4[[#This Row],[BOD removed]]*_xlfn.DAYS(EOMONTH(Table4[[#This Row],[Column2]],0),EOMONTH(Table4[[#This Row],[Column2]],-1)))</f>
        <v/>
      </c>
      <c r="G24" s="83" t="str">
        <f>IF(SUM('Energy Data Entry'!C45,'Energy Data Entry'!H45,'Energy Data Entry'!M45,'Energy Data Entry'!R45,'Energy Data Entry'!W45)=0,"",SUM('Energy Data Entry'!C45,'Energy Data Entry'!H45,'Energy Data Entry'!M45,'Energy Data Entry'!R45,'Energy Data Entry'!W45))</f>
        <v/>
      </c>
      <c r="H24" s="83">
        <f>'Energy Data Entry'!AG45</f>
        <v>0</v>
      </c>
      <c r="I24" s="83" t="str">
        <f>IF(Table4[[#This Row],[Electric kWh usage]]="","",Table4[[#This Row],[Gas kWh usage]]+Table4[[#This Row],[Electric kWh usage]])</f>
        <v/>
      </c>
      <c r="J24" s="82" t="str">
        <f>IF(OR(Table4[[#This Row],[Electric kWh usage]]="",Table4[[#This Row],[Monthly Flow]]=""),"",(Table4[[#This Row],[Electric kWh usage]]+Table4[[#This Row],[Gas kWh usage]])/Table4[[#This Row],[Monthly Flow]])</f>
        <v/>
      </c>
      <c r="K24" s="84" t="str">
        <f>_xlfn.IFERROR(IF(Table4[[#This Row],[Electric kWh usage]]="","",(Table4[[#This Row],[Electric kWh usage]]+Table4[[#This Row],[Gas kWh usage]])/Table4[[#This Row],[Total BOD removed]]),"")</f>
        <v/>
      </c>
      <c r="L24" s="83" t="str">
        <f>IF('Energy Data Entry'!E45+'Energy Data Entry'!J45+'Energy Data Entry'!O45+'Energy Data Entry'!T45+'Energy Data Entry'!Y45=0,"",'Energy Data Entry'!E45+'Energy Data Entry'!J45+'Energy Data Entry'!O45+'Energy Data Entry'!T45+'Energy Data Entry'!Y45)</f>
        <v/>
      </c>
      <c r="M24" s="83" t="str">
        <f>IF('Energy Data Entry'!F45+'Energy Data Entry'!K45+'Energy Data Entry'!P45++'Energy Data Entry'!U45+'Energy Data Entry'!Z45=0,"",'Energy Data Entry'!F45+'Energy Data Entry'!K45+'Energy Data Entry'!P45++'Energy Data Entry'!U45+'Energy Data Entry'!Z45)</f>
        <v/>
      </c>
      <c r="N24" s="85" t="str">
        <f>IF('Energy Data Entry'!G45+'Energy Data Entry'!L45+'Energy Data Entry'!Q45+'Energy Data Entry'!V45+'Energy Data Entry'!AA45=0,"",'Energy Data Entry'!G45+'Energy Data Entry'!L45+'Energy Data Entry'!Q45+'Energy Data Entry'!V45+'Energy Data Entry'!AA45)</f>
        <v/>
      </c>
      <c r="O24" s="85" t="str">
        <f>IF('Energy Data Entry'!D45+'Energy Data Entry'!I45+'Energy Data Entry'!N45+'Energy Data Entry'!S45+'Energy Data Entry'!X45=0,"",'Energy Data Entry'!D45+'Energy Data Entry'!I45+'Energy Data Entry'!N45+'Energy Data Entry'!S45+'Energy Data Entry'!X45)</f>
        <v/>
      </c>
      <c r="P24" s="412">
        <f>'Energy Data Entry'!AF45</f>
        <v>0</v>
      </c>
      <c r="Q24" s="151" t="str">
        <f>_xlfn.IFERROR(Table4[[#This Row],[Total electric cost]]/Table4[[#This Row],[Electric kWh usage]],"")</f>
        <v/>
      </c>
      <c r="R24" s="151" t="str">
        <f>_xlfn.IFERROR(Table4[[#This Row],[Electric Demand Cost]]/Table4[[#This Row],[Total Electric Demand (Billed)]],_xlfn.IFERROR(Table4[[#This Row],[Electric Demand Cost]]/Table4[[#This Row],[Total Electric Demand (Actual)]],""))</f>
        <v/>
      </c>
      <c r="S24" s="85" t="str">
        <f>_xlfn.IFERROR(Table4[[#This Row],[Total Gas cost]]+Table4[[#This Row],[Total electric cost]],"")</f>
        <v/>
      </c>
      <c r="T24" s="111"/>
      <c r="U24" s="85" t="str">
        <f>_xlfn.IFERROR(Table4[[#This Row],[Total Energy Cost]]/Table4[[#This Row],[Monthly Flow]],"")</f>
        <v/>
      </c>
      <c r="V24" s="85" t="str">
        <f>_xlfn.IFERROR(Table4[[#This Row],[Total Energy Cost]]/Table4[[#This Row],[Total BOD removed]],"")</f>
        <v/>
      </c>
      <c r="W24" s="116"/>
      <c r="X24" s="86" t="str">
        <f>IF('Process Data Entry'!G26="","",'Process Data Entry'!G26)</f>
        <v/>
      </c>
      <c r="Y24" s="86" t="str">
        <f>IF('Process Data Entry'!H26="","",'Process Data Entry'!H26)</f>
        <v/>
      </c>
      <c r="Z24" s="86">
        <f>IF('Process Data Entry'!I26="",0,'Process Data Entry'!I26)</f>
        <v>0</v>
      </c>
      <c r="AA24" s="86" t="str">
        <f>IF('Process Data Entry'!J26="","",'Process Data Entry'!J26)</f>
        <v/>
      </c>
      <c r="AB24" s="86" t="str">
        <f>IF('Process Data Entry'!K26="","",'Process Data Entry'!K26)</f>
        <v/>
      </c>
      <c r="AC24" s="86" t="str">
        <f>IF('Process Data Entry'!L26="","",'Process Data Entry'!L26)</f>
        <v/>
      </c>
      <c r="AD24" s="87" t="str">
        <f t="shared" si="0"/>
        <v/>
      </c>
      <c r="AE24" s="87" t="str">
        <f t="shared" si="1"/>
        <v/>
      </c>
      <c r="AF24" s="150" t="str">
        <f>IF('Process Data Entry'!M26="","",'Process Data Entry'!M26)</f>
        <v/>
      </c>
      <c r="AG24" s="150" t="str">
        <f>IF('Process Data Entry'!N26="","",'Process Data Entry'!N26)</f>
        <v/>
      </c>
      <c r="AH24" s="81" t="str">
        <f t="shared" si="2"/>
        <v/>
      </c>
    </row>
    <row r="25" spans="1:34" ht="15">
      <c r="A25" s="78">
        <v>2</v>
      </c>
      <c r="B25" s="79">
        <f>'Energy Data Entry'!B46</f>
        <v>43586</v>
      </c>
      <c r="C25" s="80" t="str">
        <f>IF(OR('Process Data Entry'!C27="",'Process Data Entry'!C27=0),"",'Process Data Entry'!C27)</f>
        <v/>
      </c>
      <c r="D25" s="81" t="str">
        <f>IF(Table4[[#This Row],[Avg Daily Flow]]="","",_xlfn.DAYS(EOMONTH(B25,0),EOMONTH(B25,-1))*C25)</f>
        <v/>
      </c>
      <c r="E25" s="81" t="str">
        <f>IF('Process Data Entry'!F27="","",'Process Data Entry'!F27)</f>
        <v/>
      </c>
      <c r="F25" s="82" t="str">
        <f>IF(Table4[[#This Row],[BOD removed]]="","",Table4[[#This Row],[BOD removed]]*_xlfn.DAYS(EOMONTH(Table4[[#This Row],[Column2]],0),EOMONTH(Table4[[#This Row],[Column2]],-1)))</f>
        <v/>
      </c>
      <c r="G25" s="83" t="str">
        <f>IF(SUM('Energy Data Entry'!C46,'Energy Data Entry'!H46,'Energy Data Entry'!M46,'Energy Data Entry'!R46,'Energy Data Entry'!W46)=0,"",SUM('Energy Data Entry'!C46,'Energy Data Entry'!H46,'Energy Data Entry'!M46,'Energy Data Entry'!R46,'Energy Data Entry'!W46))</f>
        <v/>
      </c>
      <c r="H25" s="83">
        <f>'Energy Data Entry'!AG46</f>
        <v>0</v>
      </c>
      <c r="I25" s="83" t="str">
        <f>IF(Table4[[#This Row],[Electric kWh usage]]="","",Table4[[#This Row],[Gas kWh usage]]+Table4[[#This Row],[Electric kWh usage]])</f>
        <v/>
      </c>
      <c r="J25" s="82" t="str">
        <f>IF(OR(Table4[[#This Row],[Electric kWh usage]]="",Table4[[#This Row],[Monthly Flow]]=""),"",(Table4[[#This Row],[Electric kWh usage]]+Table4[[#This Row],[Gas kWh usage]])/Table4[[#This Row],[Monthly Flow]])</f>
        <v/>
      </c>
      <c r="K25" s="84" t="str">
        <f>_xlfn.IFERROR(IF(Table4[[#This Row],[Electric kWh usage]]="","",(Table4[[#This Row],[Electric kWh usage]]+Table4[[#This Row],[Gas kWh usage]])/Table4[[#This Row],[Total BOD removed]]),"")</f>
        <v/>
      </c>
      <c r="L25" s="83" t="str">
        <f>IF('Energy Data Entry'!E46+'Energy Data Entry'!J46+'Energy Data Entry'!O46+'Energy Data Entry'!T46+'Energy Data Entry'!Y46=0,"",'Energy Data Entry'!E46+'Energy Data Entry'!J46+'Energy Data Entry'!O46+'Energy Data Entry'!T46+'Energy Data Entry'!Y46)</f>
        <v/>
      </c>
      <c r="M25" s="83" t="str">
        <f>IF('Energy Data Entry'!F46+'Energy Data Entry'!K46+'Energy Data Entry'!P46++'Energy Data Entry'!U46+'Energy Data Entry'!Z46=0,"",'Energy Data Entry'!F46+'Energy Data Entry'!K46+'Energy Data Entry'!P46++'Energy Data Entry'!U46+'Energy Data Entry'!Z46)</f>
        <v/>
      </c>
      <c r="N25" s="85" t="str">
        <f>IF('Energy Data Entry'!G46+'Energy Data Entry'!L46+'Energy Data Entry'!Q46+'Energy Data Entry'!V46+'Energy Data Entry'!AA46=0,"",'Energy Data Entry'!G46+'Energy Data Entry'!L46+'Energy Data Entry'!Q46+'Energy Data Entry'!V46+'Energy Data Entry'!AA46)</f>
        <v/>
      </c>
      <c r="O25" s="85" t="str">
        <f>IF('Energy Data Entry'!D46+'Energy Data Entry'!I46+'Energy Data Entry'!N46+'Energy Data Entry'!S46+'Energy Data Entry'!X46=0,"",'Energy Data Entry'!D46+'Energy Data Entry'!I46+'Energy Data Entry'!N46+'Energy Data Entry'!S46+'Energy Data Entry'!X46)</f>
        <v/>
      </c>
      <c r="P25" s="412">
        <f>'Energy Data Entry'!AF46</f>
        <v>0</v>
      </c>
      <c r="Q25" s="151" t="str">
        <f>_xlfn.IFERROR(Table4[[#This Row],[Total electric cost]]/Table4[[#This Row],[Electric kWh usage]],"")</f>
        <v/>
      </c>
      <c r="R25" s="151" t="str">
        <f>_xlfn.IFERROR(Table4[[#This Row],[Electric Demand Cost]]/Table4[[#This Row],[Total Electric Demand (Billed)]],_xlfn.IFERROR(Table4[[#This Row],[Electric Demand Cost]]/Table4[[#This Row],[Total Electric Demand (Actual)]],""))</f>
        <v/>
      </c>
      <c r="S25" s="85" t="str">
        <f>_xlfn.IFERROR(Table4[[#This Row],[Total Gas cost]]+Table4[[#This Row],[Total electric cost]],"")</f>
        <v/>
      </c>
      <c r="T25" s="111"/>
      <c r="U25" s="85" t="str">
        <f>_xlfn.IFERROR(Table4[[#This Row],[Total Energy Cost]]/Table4[[#This Row],[Monthly Flow]],"")</f>
        <v/>
      </c>
      <c r="V25" s="85" t="str">
        <f>_xlfn.IFERROR(Table4[[#This Row],[Total Energy Cost]]/Table4[[#This Row],[Total BOD removed]],"")</f>
        <v/>
      </c>
      <c r="W25" s="116"/>
      <c r="X25" s="86" t="str">
        <f>IF('Process Data Entry'!G27="","",'Process Data Entry'!G27)</f>
        <v/>
      </c>
      <c r="Y25" s="86" t="str">
        <f>IF('Process Data Entry'!H27="","",'Process Data Entry'!H27)</f>
        <v/>
      </c>
      <c r="Z25" s="86">
        <f>IF('Process Data Entry'!I27="",0,'Process Data Entry'!I27)</f>
        <v>0</v>
      </c>
      <c r="AA25" s="86" t="str">
        <f>IF('Process Data Entry'!J27="","",'Process Data Entry'!J27)</f>
        <v/>
      </c>
      <c r="AB25" s="86" t="str">
        <f>IF('Process Data Entry'!K27="","",'Process Data Entry'!K27)</f>
        <v/>
      </c>
      <c r="AC25" s="86" t="str">
        <f>IF('Process Data Entry'!L27="","",'Process Data Entry'!L27)</f>
        <v/>
      </c>
      <c r="AD25" s="87" t="str">
        <f t="shared" si="0"/>
        <v/>
      </c>
      <c r="AE25" s="87" t="str">
        <f t="shared" si="1"/>
        <v/>
      </c>
      <c r="AF25" s="150" t="str">
        <f>IF('Process Data Entry'!M27="","",'Process Data Entry'!M27)</f>
        <v/>
      </c>
      <c r="AG25" s="150" t="str">
        <f>IF('Process Data Entry'!N27="","",'Process Data Entry'!N27)</f>
        <v/>
      </c>
      <c r="AH25" s="81" t="str">
        <f t="shared" si="2"/>
        <v/>
      </c>
    </row>
    <row r="26" spans="1:34" ht="15">
      <c r="A26" s="78">
        <v>2</v>
      </c>
      <c r="B26" s="79">
        <f>'Energy Data Entry'!B47</f>
        <v>43617</v>
      </c>
      <c r="C26" s="80" t="str">
        <f>IF(OR('Process Data Entry'!C28="",'Process Data Entry'!C28=0),"",'Process Data Entry'!C28)</f>
        <v/>
      </c>
      <c r="D26" s="81" t="str">
        <f>IF(Table4[[#This Row],[Avg Daily Flow]]="","",_xlfn.DAYS(EOMONTH(B26,0),EOMONTH(B26,-1))*C26)</f>
        <v/>
      </c>
      <c r="E26" s="81" t="str">
        <f>IF('Process Data Entry'!F28="","",'Process Data Entry'!F28)</f>
        <v/>
      </c>
      <c r="F26" s="82" t="str">
        <f>IF(Table4[[#This Row],[BOD removed]]="","",Table4[[#This Row],[BOD removed]]*_xlfn.DAYS(EOMONTH(Table4[[#This Row],[Column2]],0),EOMONTH(Table4[[#This Row],[Column2]],-1)))</f>
        <v/>
      </c>
      <c r="G26" s="83" t="str">
        <f>IF(SUM('Energy Data Entry'!C47,'Energy Data Entry'!H47,'Energy Data Entry'!M47,'Energy Data Entry'!R47,'Energy Data Entry'!W47)=0,"",SUM('Energy Data Entry'!C47,'Energy Data Entry'!H47,'Energy Data Entry'!M47,'Energy Data Entry'!R47,'Energy Data Entry'!W47))</f>
        <v/>
      </c>
      <c r="H26" s="83">
        <f>'Energy Data Entry'!AG47</f>
        <v>0</v>
      </c>
      <c r="I26" s="83" t="str">
        <f>IF(Table4[[#This Row],[Electric kWh usage]]="","",Table4[[#This Row],[Gas kWh usage]]+Table4[[#This Row],[Electric kWh usage]])</f>
        <v/>
      </c>
      <c r="J26" s="82" t="str">
        <f>IF(OR(Table4[[#This Row],[Electric kWh usage]]="",Table4[[#This Row],[Monthly Flow]]=""),"",(Table4[[#This Row],[Electric kWh usage]]+Table4[[#This Row],[Gas kWh usage]])/Table4[[#This Row],[Monthly Flow]])</f>
        <v/>
      </c>
      <c r="K26" s="84" t="str">
        <f>_xlfn.IFERROR(IF(Table4[[#This Row],[Electric kWh usage]]="","",(Table4[[#This Row],[Electric kWh usage]]+Table4[[#This Row],[Gas kWh usage]])/Table4[[#This Row],[Total BOD removed]]),"")</f>
        <v/>
      </c>
      <c r="L26" s="83" t="str">
        <f>IF('Energy Data Entry'!E47+'Energy Data Entry'!J47+'Energy Data Entry'!O47+'Energy Data Entry'!T47+'Energy Data Entry'!Y47=0,"",'Energy Data Entry'!E47+'Energy Data Entry'!J47+'Energy Data Entry'!O47+'Energy Data Entry'!T47+'Energy Data Entry'!Y47)</f>
        <v/>
      </c>
      <c r="M26" s="83" t="str">
        <f>IF('Energy Data Entry'!F47+'Energy Data Entry'!K47+'Energy Data Entry'!P47++'Energy Data Entry'!U47+'Energy Data Entry'!Z47=0,"",'Energy Data Entry'!F47+'Energy Data Entry'!K47+'Energy Data Entry'!P47++'Energy Data Entry'!U47+'Energy Data Entry'!Z47)</f>
        <v/>
      </c>
      <c r="N26" s="85" t="str">
        <f>IF('Energy Data Entry'!G47+'Energy Data Entry'!L47+'Energy Data Entry'!Q47+'Energy Data Entry'!V47+'Energy Data Entry'!AA47=0,"",'Energy Data Entry'!G47+'Energy Data Entry'!L47+'Energy Data Entry'!Q47+'Energy Data Entry'!V47+'Energy Data Entry'!AA47)</f>
        <v/>
      </c>
      <c r="O26" s="85" t="str">
        <f>IF('Energy Data Entry'!D47+'Energy Data Entry'!I47+'Energy Data Entry'!N47+'Energy Data Entry'!S47+'Energy Data Entry'!X47=0,"",'Energy Data Entry'!D47+'Energy Data Entry'!I47+'Energy Data Entry'!N47+'Energy Data Entry'!S47+'Energy Data Entry'!X47)</f>
        <v/>
      </c>
      <c r="P26" s="412">
        <f>'Energy Data Entry'!AF47</f>
        <v>0</v>
      </c>
      <c r="Q26" s="151" t="str">
        <f>_xlfn.IFERROR(Table4[[#This Row],[Total electric cost]]/Table4[[#This Row],[Electric kWh usage]],"")</f>
        <v/>
      </c>
      <c r="R26" s="151" t="str">
        <f>_xlfn.IFERROR(Table4[[#This Row],[Electric Demand Cost]]/Table4[[#This Row],[Total Electric Demand (Billed)]],_xlfn.IFERROR(Table4[[#This Row],[Electric Demand Cost]]/Table4[[#This Row],[Total Electric Demand (Actual)]],""))</f>
        <v/>
      </c>
      <c r="S26" s="85" t="str">
        <f>_xlfn.IFERROR(Table4[[#This Row],[Total Gas cost]]+Table4[[#This Row],[Total electric cost]],"")</f>
        <v/>
      </c>
      <c r="T26" s="111"/>
      <c r="U26" s="85" t="str">
        <f>_xlfn.IFERROR(Table4[[#This Row],[Total Energy Cost]]/Table4[[#This Row],[Monthly Flow]],"")</f>
        <v/>
      </c>
      <c r="V26" s="85" t="str">
        <f>_xlfn.IFERROR(Table4[[#This Row],[Total Energy Cost]]/Table4[[#This Row],[Total BOD removed]],"")</f>
        <v/>
      </c>
      <c r="W26" s="116"/>
      <c r="X26" s="86" t="str">
        <f>IF('Process Data Entry'!G28="","",'Process Data Entry'!G28)</f>
        <v/>
      </c>
      <c r="Y26" s="86" t="str">
        <f>IF('Process Data Entry'!H28="","",'Process Data Entry'!H28)</f>
        <v/>
      </c>
      <c r="Z26" s="86">
        <f>IF('Process Data Entry'!I28="",0,'Process Data Entry'!I28)</f>
        <v>0</v>
      </c>
      <c r="AA26" s="86" t="str">
        <f>IF('Process Data Entry'!J28="","",'Process Data Entry'!J28)</f>
        <v/>
      </c>
      <c r="AB26" s="86" t="str">
        <f>IF('Process Data Entry'!K28="","",'Process Data Entry'!K28)</f>
        <v/>
      </c>
      <c r="AC26" s="86" t="str">
        <f>IF('Process Data Entry'!L28="","",'Process Data Entry'!L28)</f>
        <v/>
      </c>
      <c r="AD26" s="87" t="str">
        <f t="shared" si="0"/>
        <v/>
      </c>
      <c r="AE26" s="87" t="str">
        <f t="shared" si="1"/>
        <v/>
      </c>
      <c r="AF26" s="150" t="str">
        <f>IF('Process Data Entry'!M28="","",'Process Data Entry'!M28)</f>
        <v/>
      </c>
      <c r="AG26" s="150" t="str">
        <f>IF('Process Data Entry'!N28="","",'Process Data Entry'!N28)</f>
        <v/>
      </c>
      <c r="AH26" s="81" t="str">
        <f t="shared" si="2"/>
        <v/>
      </c>
    </row>
    <row r="27" spans="1:34" s="105" customFormat="1" ht="15" thickBot="1">
      <c r="A27" s="97">
        <v>2</v>
      </c>
      <c r="B27" s="98">
        <f>'Energy Data Entry'!B48</f>
        <v>43647</v>
      </c>
      <c r="C27" s="361" t="str">
        <f>IF(OR('Process Data Entry'!C29="",'Process Data Entry'!C29=0),"",'Process Data Entry'!C29)</f>
        <v/>
      </c>
      <c r="D27" s="99" t="str">
        <f>IF(Table4[[#This Row],[Avg Daily Flow]]="","",_xlfn.DAYS(EOMONTH(B27,0),EOMONTH(B27,-1))*C27)</f>
        <v/>
      </c>
      <c r="E27" s="99" t="str">
        <f>IF('Process Data Entry'!F29="","",'Process Data Entry'!F29)</f>
        <v/>
      </c>
      <c r="F27" s="100" t="str">
        <f>IF(Table4[[#This Row],[BOD removed]]="","",Table4[[#This Row],[BOD removed]]*_xlfn.DAYS(EOMONTH(Table4[[#This Row],[Column2]],0),EOMONTH(Table4[[#This Row],[Column2]],-1)))</f>
        <v/>
      </c>
      <c r="G27" s="101" t="str">
        <f>IF(SUM('Energy Data Entry'!C48,'Energy Data Entry'!H48,'Energy Data Entry'!M48,'Energy Data Entry'!R48,'Energy Data Entry'!W48)=0,"",SUM('Energy Data Entry'!C48,'Energy Data Entry'!H48,'Energy Data Entry'!M48,'Energy Data Entry'!R48,'Energy Data Entry'!W48))</f>
        <v/>
      </c>
      <c r="H27" s="101">
        <f>'Energy Data Entry'!AG48</f>
        <v>0</v>
      </c>
      <c r="I27" s="101" t="str">
        <f>IF(Table4[[#This Row],[Electric kWh usage]]="","",Table4[[#This Row],[Gas kWh usage]]+Table4[[#This Row],[Electric kWh usage]])</f>
        <v/>
      </c>
      <c r="J27" s="100" t="str">
        <f>IF(OR(Table4[[#This Row],[Electric kWh usage]]="",Table4[[#This Row],[Monthly Flow]]=""),"",(Table4[[#This Row],[Electric kWh usage]]+Table4[[#This Row],[Gas kWh usage]])/Table4[[#This Row],[Monthly Flow]])</f>
        <v/>
      </c>
      <c r="K27" s="102" t="str">
        <f>_xlfn.IFERROR(IF(Table4[[#This Row],[Electric kWh usage]]="","",(Table4[[#This Row],[Electric kWh usage]]+Table4[[#This Row],[Gas kWh usage]])/Table4[[#This Row],[Total BOD removed]]),"")</f>
        <v/>
      </c>
      <c r="L27" s="101" t="str">
        <f>IF('Energy Data Entry'!E48+'Energy Data Entry'!J48+'Energy Data Entry'!O48+'Energy Data Entry'!T48+'Energy Data Entry'!Y48=0,"",'Energy Data Entry'!E48+'Energy Data Entry'!J48+'Energy Data Entry'!O48+'Energy Data Entry'!T48+'Energy Data Entry'!Y48)</f>
        <v/>
      </c>
      <c r="M27" s="101" t="str">
        <f>IF('Energy Data Entry'!F48+'Energy Data Entry'!K48+'Energy Data Entry'!P48++'Energy Data Entry'!U48+'Energy Data Entry'!Z48=0,"",'Energy Data Entry'!F48+'Energy Data Entry'!K48+'Energy Data Entry'!P48++'Energy Data Entry'!U48+'Energy Data Entry'!Z48)</f>
        <v/>
      </c>
      <c r="N27" s="103" t="str">
        <f>IF('Energy Data Entry'!G48+'Energy Data Entry'!L48+'Energy Data Entry'!Q48+'Energy Data Entry'!V48+'Energy Data Entry'!AA48=0,"",'Energy Data Entry'!G48+'Energy Data Entry'!L48+'Energy Data Entry'!Q48+'Energy Data Entry'!V48+'Energy Data Entry'!AA48)</f>
        <v/>
      </c>
      <c r="O27" s="103" t="str">
        <f>IF('Energy Data Entry'!D48+'Energy Data Entry'!I48+'Energy Data Entry'!N48+'Energy Data Entry'!S48+'Energy Data Entry'!X48=0,"",'Energy Data Entry'!D48+'Energy Data Entry'!I48+'Energy Data Entry'!N48+'Energy Data Entry'!S48+'Energy Data Entry'!X48)</f>
        <v/>
      </c>
      <c r="P27" s="413">
        <f>'Energy Data Entry'!AF48</f>
        <v>0</v>
      </c>
      <c r="Q27" s="152" t="str">
        <f>_xlfn.IFERROR(Table4[[#This Row],[Total electric cost]]/Table4[[#This Row],[Electric kWh usage]],"")</f>
        <v/>
      </c>
      <c r="R27" s="152" t="str">
        <f>_xlfn.IFERROR(Table4[[#This Row],[Electric Demand Cost]]/Table4[[#This Row],[Total Electric Demand (Billed)]],_xlfn.IFERROR(Table4[[#This Row],[Electric Demand Cost]]/Table4[[#This Row],[Total Electric Demand (Actual)]],""))</f>
        <v/>
      </c>
      <c r="S27" s="103" t="str">
        <f>_xlfn.IFERROR(Table4[[#This Row],[Total Gas cost]]+Table4[[#This Row],[Total electric cost]],"")</f>
        <v/>
      </c>
      <c r="T27" s="112"/>
      <c r="U27" s="103" t="str">
        <f>_xlfn.IFERROR(Table4[[#This Row],[Total Energy Cost]]/Table4[[#This Row],[Monthly Flow]],"")</f>
        <v/>
      </c>
      <c r="V27" s="103" t="str">
        <f>_xlfn.IFERROR(Table4[[#This Row],[Total Energy Cost]]/Table4[[#This Row],[Total BOD removed]],"")</f>
        <v/>
      </c>
      <c r="W27" s="362"/>
      <c r="X27" s="104" t="str">
        <f>IF('Process Data Entry'!G29="","",'Process Data Entry'!G29)</f>
        <v/>
      </c>
      <c r="Y27" s="104" t="str">
        <f>IF('Process Data Entry'!H29="","",'Process Data Entry'!H29)</f>
        <v/>
      </c>
      <c r="Z27" s="104">
        <f>IF('Process Data Entry'!I29="",0,'Process Data Entry'!I29)</f>
        <v>0</v>
      </c>
      <c r="AA27" s="104" t="str">
        <f>IF('Process Data Entry'!J29="","",'Process Data Entry'!J29)</f>
        <v/>
      </c>
      <c r="AB27" s="104" t="str">
        <f>IF('Process Data Entry'!K29="","",'Process Data Entry'!K29)</f>
        <v/>
      </c>
      <c r="AC27" s="104" t="str">
        <f>IF('Process Data Entry'!L29="","",'Process Data Entry'!L29)</f>
        <v/>
      </c>
      <c r="AD27" s="363" t="str">
        <f t="shared" si="0"/>
        <v/>
      </c>
      <c r="AE27" s="363" t="str">
        <f t="shared" si="1"/>
        <v/>
      </c>
      <c r="AF27" s="364" t="str">
        <f>IF('Process Data Entry'!M29="","",'Process Data Entry'!M29)</f>
        <v/>
      </c>
      <c r="AG27" s="364" t="str">
        <f>IF('Process Data Entry'!N29="","",'Process Data Entry'!N29)</f>
        <v/>
      </c>
      <c r="AH27" s="99" t="str">
        <f t="shared" si="2"/>
        <v/>
      </c>
    </row>
    <row r="28" spans="1:34" ht="15">
      <c r="A28" s="89">
        <v>3</v>
      </c>
      <c r="B28" s="106">
        <f>'Energy Data Entry'!B49</f>
        <v>43678</v>
      </c>
      <c r="C28" s="365" t="str">
        <f>IF(OR('Process Data Entry'!C30="",'Process Data Entry'!C30=0),"",'Process Data Entry'!C30)</f>
        <v/>
      </c>
      <c r="D28" s="91" t="str">
        <f>IF(Table4[[#This Row],[Avg Daily Flow]]="","",_xlfn.DAYS(EOMONTH(B28,0),EOMONTH(B28,-1))*C28)</f>
        <v/>
      </c>
      <c r="E28" s="91" t="str">
        <f>IF('Process Data Entry'!F30="","",'Process Data Entry'!F30)</f>
        <v/>
      </c>
      <c r="F28" s="92" t="str">
        <f>IF(Table4[[#This Row],[BOD removed]]="","",Table4[[#This Row],[BOD removed]]*_xlfn.DAYS(EOMONTH(Table4[[#This Row],[Column2]],0),EOMONTH(Table4[[#This Row],[Column2]],-1)))</f>
        <v/>
      </c>
      <c r="G28" s="93" t="str">
        <f>IF(SUM('Energy Data Entry'!C49,'Energy Data Entry'!H49,'Energy Data Entry'!M49,'Energy Data Entry'!R49,'Energy Data Entry'!W49)=0,"",SUM('Energy Data Entry'!C49,'Energy Data Entry'!H49,'Energy Data Entry'!M49,'Energy Data Entry'!R49,'Energy Data Entry'!W49))</f>
        <v/>
      </c>
      <c r="H28" s="93">
        <f>'Energy Data Entry'!AG49</f>
        <v>0</v>
      </c>
      <c r="I28" s="93" t="str">
        <f>IF(Table4[[#This Row],[Electric kWh usage]]="","",Table4[[#This Row],[Gas kWh usage]]+Table4[[#This Row],[Electric kWh usage]])</f>
        <v/>
      </c>
      <c r="J28" s="92" t="str">
        <f>IF(OR(Table4[[#This Row],[Electric kWh usage]]="",Table4[[#This Row],[Monthly Flow]]=""),"",(Table4[[#This Row],[Electric kWh usage]]+Table4[[#This Row],[Gas kWh usage]])/Table4[[#This Row],[Monthly Flow]])</f>
        <v/>
      </c>
      <c r="K28" s="94" t="str">
        <f>_xlfn.IFERROR(IF(Table4[[#This Row],[Electric kWh usage]]="","",(Table4[[#This Row],[Electric kWh usage]]+Table4[[#This Row],[Gas kWh usage]])/Table4[[#This Row],[Total BOD removed]]),"")</f>
        <v/>
      </c>
      <c r="L28" s="93" t="str">
        <f>IF('Energy Data Entry'!E49+'Energy Data Entry'!J49+'Energy Data Entry'!O49+'Energy Data Entry'!T49+'Energy Data Entry'!Y49=0,"",'Energy Data Entry'!E49+'Energy Data Entry'!J49+'Energy Data Entry'!O49+'Energy Data Entry'!T49+'Energy Data Entry'!Y49)</f>
        <v/>
      </c>
      <c r="M28" s="93" t="str">
        <f>IF('Energy Data Entry'!F49+'Energy Data Entry'!K49+'Energy Data Entry'!P49++'Energy Data Entry'!U49+'Energy Data Entry'!Z49=0,"",'Energy Data Entry'!F49+'Energy Data Entry'!K49+'Energy Data Entry'!P49++'Energy Data Entry'!U49+'Energy Data Entry'!Z49)</f>
        <v/>
      </c>
      <c r="N28" s="95" t="str">
        <f>IF('Energy Data Entry'!G49+'Energy Data Entry'!L49+'Energy Data Entry'!Q49+'Energy Data Entry'!V49+'Energy Data Entry'!AA49=0,"",'Energy Data Entry'!G49+'Energy Data Entry'!L49+'Energy Data Entry'!Q49+'Energy Data Entry'!V49+'Energy Data Entry'!AA49)</f>
        <v/>
      </c>
      <c r="O28" s="95" t="str">
        <f>IF('Energy Data Entry'!D49+'Energy Data Entry'!I49+'Energy Data Entry'!N49+'Energy Data Entry'!S49+'Energy Data Entry'!X49=0,"",'Energy Data Entry'!D49+'Energy Data Entry'!I49+'Energy Data Entry'!N49+'Energy Data Entry'!S49+'Energy Data Entry'!X49)</f>
        <v/>
      </c>
      <c r="P28" s="414">
        <f>'Energy Data Entry'!AF49</f>
        <v>0</v>
      </c>
      <c r="Q28" s="153" t="str">
        <f>_xlfn.IFERROR(Table4[[#This Row],[Total electric cost]]/Table4[[#This Row],[Electric kWh usage]],"")</f>
        <v/>
      </c>
      <c r="R28" s="153" t="str">
        <f>_xlfn.IFERROR(Table4[[#This Row],[Electric Demand Cost]]/Table4[[#This Row],[Total Electric Demand (Billed)]],_xlfn.IFERROR(Table4[[#This Row],[Electric Demand Cost]]/Table4[[#This Row],[Total Electric Demand (Actual)]],""))</f>
        <v/>
      </c>
      <c r="S28" s="95" t="str">
        <f>_xlfn.IFERROR(Table4[[#This Row],[Total Gas cost]]+Table4[[#This Row],[Total electric cost]],"")</f>
        <v/>
      </c>
      <c r="T28" s="113"/>
      <c r="U28" s="95" t="str">
        <f>_xlfn.IFERROR(Table4[[#This Row],[Total Energy Cost]]/Table4[[#This Row],[Monthly Flow]],"")</f>
        <v/>
      </c>
      <c r="V28" s="95" t="str">
        <f>_xlfn.IFERROR(Table4[[#This Row],[Total Energy Cost]]/Table4[[#This Row],[Total BOD removed]],"")</f>
        <v/>
      </c>
      <c r="W28" s="116"/>
      <c r="X28" s="96" t="str">
        <f>IF('Process Data Entry'!G30="","",'Process Data Entry'!G30)</f>
        <v/>
      </c>
      <c r="Y28" s="96" t="str">
        <f>IF('Process Data Entry'!H30="","",'Process Data Entry'!H30)</f>
        <v/>
      </c>
      <c r="Z28" s="96">
        <f>IF('Process Data Entry'!I30="",0,'Process Data Entry'!I30)</f>
        <v>0</v>
      </c>
      <c r="AA28" s="96" t="str">
        <f>IF('Process Data Entry'!J30="","",'Process Data Entry'!J30)</f>
        <v/>
      </c>
      <c r="AB28" s="96" t="str">
        <f>IF('Process Data Entry'!K30="","",'Process Data Entry'!K30)</f>
        <v/>
      </c>
      <c r="AC28" s="96" t="str">
        <f>IF('Process Data Entry'!L30="","",'Process Data Entry'!L30)</f>
        <v/>
      </c>
      <c r="AD28" s="366" t="str">
        <f t="shared" si="0"/>
        <v/>
      </c>
      <c r="AE28" s="366" t="str">
        <f t="shared" si="1"/>
        <v/>
      </c>
      <c r="AF28" s="367" t="str">
        <f>IF('Process Data Entry'!M30="","",'Process Data Entry'!M30)</f>
        <v/>
      </c>
      <c r="AG28" s="367" t="str">
        <f>IF('Process Data Entry'!N30="","",'Process Data Entry'!N30)</f>
        <v/>
      </c>
      <c r="AH28" s="91" t="str">
        <f t="shared" si="2"/>
        <v/>
      </c>
    </row>
    <row r="29" spans="1:34" ht="15">
      <c r="A29" s="78">
        <v>3</v>
      </c>
      <c r="B29" s="88">
        <f>'Energy Data Entry'!B50</f>
        <v>43709</v>
      </c>
      <c r="C29" s="80" t="str">
        <f>IF(OR('Process Data Entry'!C31="",'Process Data Entry'!C31=0),"",'Process Data Entry'!C31)</f>
        <v/>
      </c>
      <c r="D29" s="81" t="str">
        <f>IF(Table4[[#This Row],[Avg Daily Flow]]="","",_xlfn.DAYS(EOMONTH(B29,0),EOMONTH(B29,-1))*C29)</f>
        <v/>
      </c>
      <c r="E29" s="81" t="str">
        <f>IF('Process Data Entry'!F31="","",'Process Data Entry'!F31)</f>
        <v/>
      </c>
      <c r="F29" s="82" t="str">
        <f>IF(Table4[[#This Row],[BOD removed]]="","",Table4[[#This Row],[BOD removed]]*_xlfn.DAYS(EOMONTH(Table4[[#This Row],[Column2]],0),EOMONTH(Table4[[#This Row],[Column2]],-1)))</f>
        <v/>
      </c>
      <c r="G29" s="83" t="str">
        <f>IF(SUM('Energy Data Entry'!C50,'Energy Data Entry'!H50,'Energy Data Entry'!M50,'Energy Data Entry'!R50,'Energy Data Entry'!W50)=0,"",SUM('Energy Data Entry'!C50,'Energy Data Entry'!H50,'Energy Data Entry'!M50,'Energy Data Entry'!R50,'Energy Data Entry'!W50))</f>
        <v/>
      </c>
      <c r="H29" s="83">
        <f>'Energy Data Entry'!AG50</f>
        <v>0</v>
      </c>
      <c r="I29" s="83" t="str">
        <f>IF(Table4[[#This Row],[Electric kWh usage]]="","",Table4[[#This Row],[Gas kWh usage]]+Table4[[#This Row],[Electric kWh usage]])</f>
        <v/>
      </c>
      <c r="J29" s="82" t="str">
        <f>IF(OR(Table4[[#This Row],[Electric kWh usage]]="",Table4[[#This Row],[Monthly Flow]]=""),"",(Table4[[#This Row],[Electric kWh usage]]+Table4[[#This Row],[Gas kWh usage]])/Table4[[#This Row],[Monthly Flow]])</f>
        <v/>
      </c>
      <c r="K29" s="84" t="str">
        <f>_xlfn.IFERROR(IF(Table4[[#This Row],[Electric kWh usage]]="","",(Table4[[#This Row],[Electric kWh usage]]+Table4[[#This Row],[Gas kWh usage]])/Table4[[#This Row],[Total BOD removed]]),"")</f>
        <v/>
      </c>
      <c r="L29" s="83" t="str">
        <f>IF('Energy Data Entry'!E50+'Energy Data Entry'!J50+'Energy Data Entry'!O50+'Energy Data Entry'!T50+'Energy Data Entry'!Y50=0,"",'Energy Data Entry'!E50+'Energy Data Entry'!J50+'Energy Data Entry'!O50+'Energy Data Entry'!T50+'Energy Data Entry'!Y50)</f>
        <v/>
      </c>
      <c r="M29" s="83" t="str">
        <f>IF('Energy Data Entry'!F50+'Energy Data Entry'!K50+'Energy Data Entry'!P50++'Energy Data Entry'!U50+'Energy Data Entry'!Z50=0,"",'Energy Data Entry'!F50+'Energy Data Entry'!K50+'Energy Data Entry'!P50++'Energy Data Entry'!U50+'Energy Data Entry'!Z50)</f>
        <v/>
      </c>
      <c r="N29" s="85" t="str">
        <f>IF('Energy Data Entry'!G50+'Energy Data Entry'!L50+'Energy Data Entry'!Q50+'Energy Data Entry'!V50+'Energy Data Entry'!AA50=0,"",'Energy Data Entry'!G50+'Energy Data Entry'!L50+'Energy Data Entry'!Q50+'Energy Data Entry'!V50+'Energy Data Entry'!AA50)</f>
        <v/>
      </c>
      <c r="O29" s="85" t="str">
        <f>IF('Energy Data Entry'!D50+'Energy Data Entry'!I50+'Energy Data Entry'!N50+'Energy Data Entry'!S50+'Energy Data Entry'!X50=0,"",'Energy Data Entry'!D50+'Energy Data Entry'!I50+'Energy Data Entry'!N50+'Energy Data Entry'!S50+'Energy Data Entry'!X50)</f>
        <v/>
      </c>
      <c r="P29" s="412">
        <f>'Energy Data Entry'!AF50</f>
        <v>0</v>
      </c>
      <c r="Q29" s="151" t="str">
        <f>_xlfn.IFERROR(Table4[[#This Row],[Total electric cost]]/Table4[[#This Row],[Electric kWh usage]],"")</f>
        <v/>
      </c>
      <c r="R29" s="151" t="str">
        <f>_xlfn.IFERROR(Table4[[#This Row],[Electric Demand Cost]]/Table4[[#This Row],[Total Electric Demand (Billed)]],_xlfn.IFERROR(Table4[[#This Row],[Electric Demand Cost]]/Table4[[#This Row],[Total Electric Demand (Actual)]],""))</f>
        <v/>
      </c>
      <c r="S29" s="85" t="str">
        <f>_xlfn.IFERROR(Table4[[#This Row],[Total Gas cost]]+Table4[[#This Row],[Total electric cost]],"")</f>
        <v/>
      </c>
      <c r="T29" s="111"/>
      <c r="U29" s="85" t="str">
        <f>_xlfn.IFERROR(Table4[[#This Row],[Total Energy Cost]]/Table4[[#This Row],[Monthly Flow]],"")</f>
        <v/>
      </c>
      <c r="V29" s="85" t="str">
        <f>_xlfn.IFERROR(Table4[[#This Row],[Total Energy Cost]]/Table4[[#This Row],[Total BOD removed]],"")</f>
        <v/>
      </c>
      <c r="W29" s="116"/>
      <c r="X29" s="86" t="str">
        <f>IF('Process Data Entry'!G31="","",'Process Data Entry'!G31)</f>
        <v/>
      </c>
      <c r="Y29" s="86" t="str">
        <f>IF('Process Data Entry'!H31="","",'Process Data Entry'!H31)</f>
        <v/>
      </c>
      <c r="Z29" s="86">
        <f>IF('Process Data Entry'!I31="",0,'Process Data Entry'!I31)</f>
        <v>0</v>
      </c>
      <c r="AA29" s="86" t="str">
        <f>IF('Process Data Entry'!J31="","",'Process Data Entry'!J31)</f>
        <v/>
      </c>
      <c r="AB29" s="86" t="str">
        <f>IF('Process Data Entry'!K31="","",'Process Data Entry'!K31)</f>
        <v/>
      </c>
      <c r="AC29" s="86" t="str">
        <f>IF('Process Data Entry'!L31="","",'Process Data Entry'!L31)</f>
        <v/>
      </c>
      <c r="AD29" s="87" t="str">
        <f t="shared" si="0"/>
        <v/>
      </c>
      <c r="AE29" s="87" t="str">
        <f t="shared" si="1"/>
        <v/>
      </c>
      <c r="AF29" s="150" t="str">
        <f>IF('Process Data Entry'!M31="","",'Process Data Entry'!M31)</f>
        <v/>
      </c>
      <c r="AG29" s="150" t="str">
        <f>IF('Process Data Entry'!N31="","",'Process Data Entry'!N31)</f>
        <v/>
      </c>
      <c r="AH29" s="81" t="str">
        <f t="shared" si="2"/>
        <v/>
      </c>
    </row>
    <row r="30" spans="1:34" ht="15">
      <c r="A30" s="78">
        <v>3</v>
      </c>
      <c r="B30" s="88">
        <f>'Energy Data Entry'!B51</f>
        <v>43739</v>
      </c>
      <c r="C30" s="80" t="str">
        <f>IF(OR('Process Data Entry'!C32="",'Process Data Entry'!C32=0),"",'Process Data Entry'!C32)</f>
        <v/>
      </c>
      <c r="D30" s="81" t="str">
        <f>IF(Table4[[#This Row],[Avg Daily Flow]]="","",_xlfn.DAYS(EOMONTH(B30,0),EOMONTH(B30,-1))*C30)</f>
        <v/>
      </c>
      <c r="E30" s="81" t="str">
        <f>IF('Process Data Entry'!F32="","",'Process Data Entry'!F32)</f>
        <v/>
      </c>
      <c r="F30" s="82" t="str">
        <f>IF(Table4[[#This Row],[BOD removed]]="","",Table4[[#This Row],[BOD removed]]*_xlfn.DAYS(EOMONTH(Table4[[#This Row],[Column2]],0),EOMONTH(Table4[[#This Row],[Column2]],-1)))</f>
        <v/>
      </c>
      <c r="G30" s="83" t="str">
        <f>IF(SUM('Energy Data Entry'!C51,'Energy Data Entry'!H51,'Energy Data Entry'!M51,'Energy Data Entry'!R51,'Energy Data Entry'!W51)=0,"",SUM('Energy Data Entry'!C51,'Energy Data Entry'!H51,'Energy Data Entry'!M51,'Energy Data Entry'!R51,'Energy Data Entry'!W51))</f>
        <v/>
      </c>
      <c r="H30" s="83">
        <f>'Energy Data Entry'!AG51</f>
        <v>0</v>
      </c>
      <c r="I30" s="83" t="str">
        <f>IF(Table4[[#This Row],[Electric kWh usage]]="","",Table4[[#This Row],[Gas kWh usage]]+Table4[[#This Row],[Electric kWh usage]])</f>
        <v/>
      </c>
      <c r="J30" s="82" t="str">
        <f>IF(OR(Table4[[#This Row],[Electric kWh usage]]="",Table4[[#This Row],[Monthly Flow]]=""),"",(Table4[[#This Row],[Electric kWh usage]]+Table4[[#This Row],[Gas kWh usage]])/Table4[[#This Row],[Monthly Flow]])</f>
        <v/>
      </c>
      <c r="K30" s="84" t="str">
        <f>_xlfn.IFERROR(IF(Table4[[#This Row],[Electric kWh usage]]="","",(Table4[[#This Row],[Electric kWh usage]]+Table4[[#This Row],[Gas kWh usage]])/Table4[[#This Row],[Total BOD removed]]),"")</f>
        <v/>
      </c>
      <c r="L30" s="83" t="str">
        <f>IF('Energy Data Entry'!E51+'Energy Data Entry'!J51+'Energy Data Entry'!O51+'Energy Data Entry'!T51+'Energy Data Entry'!Y51=0,"",'Energy Data Entry'!E51+'Energy Data Entry'!J51+'Energy Data Entry'!O51+'Energy Data Entry'!T51+'Energy Data Entry'!Y51)</f>
        <v/>
      </c>
      <c r="M30" s="83" t="str">
        <f>IF('Energy Data Entry'!F51+'Energy Data Entry'!K51+'Energy Data Entry'!P51++'Energy Data Entry'!U51+'Energy Data Entry'!Z51=0,"",'Energy Data Entry'!F51+'Energy Data Entry'!K51+'Energy Data Entry'!P51++'Energy Data Entry'!U51+'Energy Data Entry'!Z51)</f>
        <v/>
      </c>
      <c r="N30" s="85" t="str">
        <f>IF('Energy Data Entry'!G51+'Energy Data Entry'!L51+'Energy Data Entry'!Q51+'Energy Data Entry'!V51+'Energy Data Entry'!AA51=0,"",'Energy Data Entry'!G51+'Energy Data Entry'!L51+'Energy Data Entry'!Q51+'Energy Data Entry'!V51+'Energy Data Entry'!AA51)</f>
        <v/>
      </c>
      <c r="O30" s="85" t="str">
        <f>IF('Energy Data Entry'!D51+'Energy Data Entry'!I51+'Energy Data Entry'!N51+'Energy Data Entry'!S51+'Energy Data Entry'!X51=0,"",'Energy Data Entry'!D51+'Energy Data Entry'!I51+'Energy Data Entry'!N51+'Energy Data Entry'!S51+'Energy Data Entry'!X51)</f>
        <v/>
      </c>
      <c r="P30" s="412">
        <f>'Energy Data Entry'!AF51</f>
        <v>0</v>
      </c>
      <c r="Q30" s="151" t="str">
        <f>_xlfn.IFERROR(Table4[[#This Row],[Total electric cost]]/Table4[[#This Row],[Electric kWh usage]],"")</f>
        <v/>
      </c>
      <c r="R30" s="151" t="str">
        <f>_xlfn.IFERROR(Table4[[#This Row],[Electric Demand Cost]]/Table4[[#This Row],[Total Electric Demand (Billed)]],_xlfn.IFERROR(Table4[[#This Row],[Electric Demand Cost]]/Table4[[#This Row],[Total Electric Demand (Actual)]],""))</f>
        <v/>
      </c>
      <c r="S30" s="85" t="str">
        <f>_xlfn.IFERROR(Table4[[#This Row],[Total Gas cost]]+Table4[[#This Row],[Total electric cost]],"")</f>
        <v/>
      </c>
      <c r="T30" s="111"/>
      <c r="U30" s="85" t="str">
        <f>_xlfn.IFERROR(Table4[[#This Row],[Total Energy Cost]]/Table4[[#This Row],[Monthly Flow]],"")</f>
        <v/>
      </c>
      <c r="V30" s="85" t="str">
        <f>_xlfn.IFERROR(Table4[[#This Row],[Total Energy Cost]]/Table4[[#This Row],[Total BOD removed]],"")</f>
        <v/>
      </c>
      <c r="W30" s="116"/>
      <c r="X30" s="86" t="str">
        <f>IF('Process Data Entry'!G32="","",'Process Data Entry'!G32)</f>
        <v/>
      </c>
      <c r="Y30" s="86" t="str">
        <f>IF('Process Data Entry'!H32="","",'Process Data Entry'!H32)</f>
        <v/>
      </c>
      <c r="Z30" s="86">
        <f>IF('Process Data Entry'!I32="",0,'Process Data Entry'!I32)</f>
        <v>0</v>
      </c>
      <c r="AA30" s="86" t="str">
        <f>IF('Process Data Entry'!J32="","",'Process Data Entry'!J32)</f>
        <v/>
      </c>
      <c r="AB30" s="86" t="str">
        <f>IF('Process Data Entry'!K32="","",'Process Data Entry'!K32)</f>
        <v/>
      </c>
      <c r="AC30" s="86" t="str">
        <f>IF('Process Data Entry'!L32="","",'Process Data Entry'!L32)</f>
        <v/>
      </c>
      <c r="AD30" s="87" t="str">
        <f t="shared" si="0"/>
        <v/>
      </c>
      <c r="AE30" s="87" t="str">
        <f t="shared" si="1"/>
        <v/>
      </c>
      <c r="AF30" s="150" t="str">
        <f>IF('Process Data Entry'!M32="","",'Process Data Entry'!M32)</f>
        <v/>
      </c>
      <c r="AG30" s="150" t="str">
        <f>IF('Process Data Entry'!N32="","",'Process Data Entry'!N32)</f>
        <v/>
      </c>
      <c r="AH30" s="81" t="str">
        <f t="shared" si="2"/>
        <v/>
      </c>
    </row>
    <row r="31" spans="1:34" ht="15">
      <c r="A31" s="78">
        <v>3</v>
      </c>
      <c r="B31" s="88">
        <f>'Energy Data Entry'!B52</f>
        <v>43770</v>
      </c>
      <c r="C31" s="80" t="str">
        <f>IF(OR('Process Data Entry'!C33="",'Process Data Entry'!C33=0),"",'Process Data Entry'!C33)</f>
        <v/>
      </c>
      <c r="D31" s="81" t="str">
        <f>IF(Table4[[#This Row],[Avg Daily Flow]]="","",_xlfn.DAYS(EOMONTH(B31,0),EOMONTH(B31,-1))*C31)</f>
        <v/>
      </c>
      <c r="E31" s="81" t="str">
        <f>IF('Process Data Entry'!F33="","",'Process Data Entry'!F33)</f>
        <v/>
      </c>
      <c r="F31" s="82" t="str">
        <f>IF(Table4[[#This Row],[BOD removed]]="","",Table4[[#This Row],[BOD removed]]*_xlfn.DAYS(EOMONTH(Table4[[#This Row],[Column2]],0),EOMONTH(Table4[[#This Row],[Column2]],-1)))</f>
        <v/>
      </c>
      <c r="G31" s="83" t="str">
        <f>IF(SUM('Energy Data Entry'!C52,'Energy Data Entry'!H52,'Energy Data Entry'!M52,'Energy Data Entry'!R52,'Energy Data Entry'!W52)=0,"",SUM('Energy Data Entry'!C52,'Energy Data Entry'!H52,'Energy Data Entry'!M52,'Energy Data Entry'!R52,'Energy Data Entry'!W52))</f>
        <v/>
      </c>
      <c r="H31" s="83">
        <f>'Energy Data Entry'!AG52</f>
        <v>0</v>
      </c>
      <c r="I31" s="83" t="str">
        <f>IF(Table4[[#This Row],[Electric kWh usage]]="","",Table4[[#This Row],[Gas kWh usage]]+Table4[[#This Row],[Electric kWh usage]])</f>
        <v/>
      </c>
      <c r="J31" s="82" t="str">
        <f>IF(OR(Table4[[#This Row],[Electric kWh usage]]="",Table4[[#This Row],[Monthly Flow]]=""),"",(Table4[[#This Row],[Electric kWh usage]]+Table4[[#This Row],[Gas kWh usage]])/Table4[[#This Row],[Monthly Flow]])</f>
        <v/>
      </c>
      <c r="K31" s="84" t="str">
        <f>_xlfn.IFERROR(IF(Table4[[#This Row],[Electric kWh usage]]="","",(Table4[[#This Row],[Electric kWh usage]]+Table4[[#This Row],[Gas kWh usage]])/Table4[[#This Row],[Total BOD removed]]),"")</f>
        <v/>
      </c>
      <c r="L31" s="83" t="str">
        <f>IF('Energy Data Entry'!E52+'Energy Data Entry'!J52+'Energy Data Entry'!O52+'Energy Data Entry'!T52+'Energy Data Entry'!Y52=0,"",'Energy Data Entry'!E52+'Energy Data Entry'!J52+'Energy Data Entry'!O52+'Energy Data Entry'!T52+'Energy Data Entry'!Y52)</f>
        <v/>
      </c>
      <c r="M31" s="83" t="str">
        <f>IF('Energy Data Entry'!F52+'Energy Data Entry'!K52+'Energy Data Entry'!P52++'Energy Data Entry'!U52+'Energy Data Entry'!Z52=0,"",'Energy Data Entry'!F52+'Energy Data Entry'!K52+'Energy Data Entry'!P52++'Energy Data Entry'!U52+'Energy Data Entry'!Z52)</f>
        <v/>
      </c>
      <c r="N31" s="85" t="str">
        <f>IF('Energy Data Entry'!G52+'Energy Data Entry'!L52+'Energy Data Entry'!Q52+'Energy Data Entry'!V52+'Energy Data Entry'!AA52=0,"",'Energy Data Entry'!G52+'Energy Data Entry'!L52+'Energy Data Entry'!Q52+'Energy Data Entry'!V52+'Energy Data Entry'!AA52)</f>
        <v/>
      </c>
      <c r="O31" s="85" t="str">
        <f>IF('Energy Data Entry'!D52+'Energy Data Entry'!I52+'Energy Data Entry'!N52+'Energy Data Entry'!S52+'Energy Data Entry'!X52=0,"",'Energy Data Entry'!D52+'Energy Data Entry'!I52+'Energy Data Entry'!N52+'Energy Data Entry'!S52+'Energy Data Entry'!X52)</f>
        <v/>
      </c>
      <c r="P31" s="412">
        <f>'Energy Data Entry'!AF52</f>
        <v>0</v>
      </c>
      <c r="Q31" s="151" t="str">
        <f>_xlfn.IFERROR(Table4[[#This Row],[Total electric cost]]/Table4[[#This Row],[Electric kWh usage]],"")</f>
        <v/>
      </c>
      <c r="R31" s="151" t="str">
        <f>_xlfn.IFERROR(Table4[[#This Row],[Electric Demand Cost]]/Table4[[#This Row],[Total Electric Demand (Billed)]],_xlfn.IFERROR(Table4[[#This Row],[Electric Demand Cost]]/Table4[[#This Row],[Total Electric Demand (Actual)]],""))</f>
        <v/>
      </c>
      <c r="S31" s="85" t="str">
        <f>_xlfn.IFERROR(Table4[[#This Row],[Total Gas cost]]+Table4[[#This Row],[Total electric cost]],"")</f>
        <v/>
      </c>
      <c r="T31" s="111"/>
      <c r="U31" s="85" t="str">
        <f>_xlfn.IFERROR(Table4[[#This Row],[Total Energy Cost]]/Table4[[#This Row],[Monthly Flow]],"")</f>
        <v/>
      </c>
      <c r="V31" s="85" t="str">
        <f>_xlfn.IFERROR(Table4[[#This Row],[Total Energy Cost]]/Table4[[#This Row],[Total BOD removed]],"")</f>
        <v/>
      </c>
      <c r="W31" s="116"/>
      <c r="X31" s="86" t="str">
        <f>IF('Process Data Entry'!G33="","",'Process Data Entry'!G33)</f>
        <v/>
      </c>
      <c r="Y31" s="86" t="str">
        <f>IF('Process Data Entry'!H33="","",'Process Data Entry'!H33)</f>
        <v/>
      </c>
      <c r="Z31" s="86">
        <f>IF('Process Data Entry'!I33="",0,'Process Data Entry'!I33)</f>
        <v>0</v>
      </c>
      <c r="AA31" s="86" t="str">
        <f>IF('Process Data Entry'!J33="","",'Process Data Entry'!J33)</f>
        <v/>
      </c>
      <c r="AB31" s="86" t="str">
        <f>IF('Process Data Entry'!K33="","",'Process Data Entry'!K33)</f>
        <v/>
      </c>
      <c r="AC31" s="86" t="str">
        <f>IF('Process Data Entry'!L33="","",'Process Data Entry'!L33)</f>
        <v/>
      </c>
      <c r="AD31" s="87" t="str">
        <f t="shared" si="0"/>
        <v/>
      </c>
      <c r="AE31" s="87" t="str">
        <f t="shared" si="1"/>
        <v/>
      </c>
      <c r="AF31" s="150" t="str">
        <f>IF('Process Data Entry'!M33="","",'Process Data Entry'!M33)</f>
        <v/>
      </c>
      <c r="AG31" s="150" t="str">
        <f>IF('Process Data Entry'!N33="","",'Process Data Entry'!N33)</f>
        <v/>
      </c>
      <c r="AH31" s="81" t="str">
        <f t="shared" si="2"/>
        <v/>
      </c>
    </row>
    <row r="32" spans="1:34" ht="15">
      <c r="A32" s="78">
        <v>3</v>
      </c>
      <c r="B32" s="88">
        <f>'Energy Data Entry'!B53</f>
        <v>43800</v>
      </c>
      <c r="C32" s="80" t="str">
        <f>IF(OR('Process Data Entry'!C34="",'Process Data Entry'!C34=0),"",'Process Data Entry'!C34)</f>
        <v/>
      </c>
      <c r="D32" s="81" t="str">
        <f>IF(Table4[[#This Row],[Avg Daily Flow]]="","",_xlfn.DAYS(EOMONTH(B32,0),EOMONTH(B32,-1))*C32)</f>
        <v/>
      </c>
      <c r="E32" s="81" t="str">
        <f>IF('Process Data Entry'!F34="","",'Process Data Entry'!F34)</f>
        <v/>
      </c>
      <c r="F32" s="82" t="str">
        <f>IF(Table4[[#This Row],[BOD removed]]="","",Table4[[#This Row],[BOD removed]]*_xlfn.DAYS(EOMONTH(Table4[[#This Row],[Column2]],0),EOMONTH(Table4[[#This Row],[Column2]],-1)))</f>
        <v/>
      </c>
      <c r="G32" s="83" t="str">
        <f>IF(SUM('Energy Data Entry'!C53,'Energy Data Entry'!H53,'Energy Data Entry'!M53,'Energy Data Entry'!R53,'Energy Data Entry'!W53)=0,"",SUM('Energy Data Entry'!C53,'Energy Data Entry'!H53,'Energy Data Entry'!M53,'Energy Data Entry'!R53,'Energy Data Entry'!W53))</f>
        <v/>
      </c>
      <c r="H32" s="83">
        <f>'Energy Data Entry'!AG53</f>
        <v>0</v>
      </c>
      <c r="I32" s="83" t="str">
        <f>IF(Table4[[#This Row],[Electric kWh usage]]="","",Table4[[#This Row],[Gas kWh usage]]+Table4[[#This Row],[Electric kWh usage]])</f>
        <v/>
      </c>
      <c r="J32" s="82" t="str">
        <f>IF(OR(Table4[[#This Row],[Electric kWh usage]]="",Table4[[#This Row],[Monthly Flow]]=""),"",(Table4[[#This Row],[Electric kWh usage]]+Table4[[#This Row],[Gas kWh usage]])/Table4[[#This Row],[Monthly Flow]])</f>
        <v/>
      </c>
      <c r="K32" s="84" t="str">
        <f>_xlfn.IFERROR(IF(Table4[[#This Row],[Electric kWh usage]]="","",(Table4[[#This Row],[Electric kWh usage]]+Table4[[#This Row],[Gas kWh usage]])/Table4[[#This Row],[Total BOD removed]]),"")</f>
        <v/>
      </c>
      <c r="L32" s="83" t="str">
        <f>IF('Energy Data Entry'!E53+'Energy Data Entry'!J53+'Energy Data Entry'!O53+'Energy Data Entry'!T53+'Energy Data Entry'!Y53=0,"",'Energy Data Entry'!E53+'Energy Data Entry'!J53+'Energy Data Entry'!O53+'Energy Data Entry'!T53+'Energy Data Entry'!Y53)</f>
        <v/>
      </c>
      <c r="M32" s="83" t="str">
        <f>IF('Energy Data Entry'!F53+'Energy Data Entry'!K53+'Energy Data Entry'!P53++'Energy Data Entry'!U53+'Energy Data Entry'!Z53=0,"",'Energy Data Entry'!F53+'Energy Data Entry'!K53+'Energy Data Entry'!P53++'Energy Data Entry'!U53+'Energy Data Entry'!Z53)</f>
        <v/>
      </c>
      <c r="N32" s="85" t="str">
        <f>IF('Energy Data Entry'!G53+'Energy Data Entry'!L53+'Energy Data Entry'!Q53+'Energy Data Entry'!V53+'Energy Data Entry'!AA53=0,"",'Energy Data Entry'!G53+'Energy Data Entry'!L53+'Energy Data Entry'!Q53+'Energy Data Entry'!V53+'Energy Data Entry'!AA53)</f>
        <v/>
      </c>
      <c r="O32" s="85" t="str">
        <f>IF('Energy Data Entry'!D53+'Energy Data Entry'!I53+'Energy Data Entry'!N53+'Energy Data Entry'!S53+'Energy Data Entry'!X53=0,"",'Energy Data Entry'!D53+'Energy Data Entry'!I53+'Energy Data Entry'!N53+'Energy Data Entry'!S53+'Energy Data Entry'!X53)</f>
        <v/>
      </c>
      <c r="P32" s="412">
        <f>'Energy Data Entry'!AF53</f>
        <v>0</v>
      </c>
      <c r="Q32" s="151" t="str">
        <f>_xlfn.IFERROR(Table4[[#This Row],[Total electric cost]]/Table4[[#This Row],[Electric kWh usage]],"")</f>
        <v/>
      </c>
      <c r="R32" s="151" t="str">
        <f>_xlfn.IFERROR(Table4[[#This Row],[Electric Demand Cost]]/Table4[[#This Row],[Total Electric Demand (Billed)]],_xlfn.IFERROR(Table4[[#This Row],[Electric Demand Cost]]/Table4[[#This Row],[Total Electric Demand (Actual)]],""))</f>
        <v/>
      </c>
      <c r="S32" s="85" t="str">
        <f>_xlfn.IFERROR(Table4[[#This Row],[Total Gas cost]]+Table4[[#This Row],[Total electric cost]],"")</f>
        <v/>
      </c>
      <c r="T32" s="111"/>
      <c r="U32" s="85" t="str">
        <f>_xlfn.IFERROR(Table4[[#This Row],[Total Energy Cost]]/Table4[[#This Row],[Monthly Flow]],"")</f>
        <v/>
      </c>
      <c r="V32" s="85" t="str">
        <f>_xlfn.IFERROR(Table4[[#This Row],[Total Energy Cost]]/Table4[[#This Row],[Total BOD removed]],"")</f>
        <v/>
      </c>
      <c r="W32" s="116"/>
      <c r="X32" s="86" t="str">
        <f>IF('Process Data Entry'!G34="","",'Process Data Entry'!G34)</f>
        <v/>
      </c>
      <c r="Y32" s="86" t="str">
        <f>IF('Process Data Entry'!H34="","",'Process Data Entry'!H34)</f>
        <v/>
      </c>
      <c r="Z32" s="86">
        <f>IF('Process Data Entry'!I34="",0,'Process Data Entry'!I34)</f>
        <v>0</v>
      </c>
      <c r="AA32" s="86" t="str">
        <f>IF('Process Data Entry'!J34="","",'Process Data Entry'!J34)</f>
        <v/>
      </c>
      <c r="AB32" s="86" t="str">
        <f>IF('Process Data Entry'!K34="","",'Process Data Entry'!K34)</f>
        <v/>
      </c>
      <c r="AC32" s="86" t="str">
        <f>IF('Process Data Entry'!L34="","",'Process Data Entry'!L34)</f>
        <v/>
      </c>
      <c r="AD32" s="87" t="str">
        <f t="shared" si="0"/>
        <v/>
      </c>
      <c r="AE32" s="87" t="str">
        <f t="shared" si="1"/>
        <v/>
      </c>
      <c r="AF32" s="150" t="str">
        <f>IF('Process Data Entry'!M34="","",'Process Data Entry'!M34)</f>
        <v/>
      </c>
      <c r="AG32" s="150" t="str">
        <f>IF('Process Data Entry'!N34="","",'Process Data Entry'!N34)</f>
        <v/>
      </c>
      <c r="AH32" s="81" t="str">
        <f t="shared" si="2"/>
        <v/>
      </c>
    </row>
    <row r="33" spans="1:34" ht="15">
      <c r="A33" s="78">
        <v>3</v>
      </c>
      <c r="B33" s="88">
        <f>'Energy Data Entry'!B54</f>
        <v>43831</v>
      </c>
      <c r="C33" s="80" t="str">
        <f>IF(OR('Process Data Entry'!C35="",'Process Data Entry'!C35=0),"",'Process Data Entry'!C35)</f>
        <v/>
      </c>
      <c r="D33" s="81" t="str">
        <f>IF(Table4[[#This Row],[Avg Daily Flow]]="","",_xlfn.DAYS(EOMONTH(B33,0),EOMONTH(B33,-1))*C33)</f>
        <v/>
      </c>
      <c r="E33" s="81" t="str">
        <f>IF('Process Data Entry'!F35="","",'Process Data Entry'!F35)</f>
        <v/>
      </c>
      <c r="F33" s="82" t="str">
        <f>IF(Table4[[#This Row],[BOD removed]]="","",Table4[[#This Row],[BOD removed]]*_xlfn.DAYS(EOMONTH(Table4[[#This Row],[Column2]],0),EOMONTH(Table4[[#This Row],[Column2]],-1)))</f>
        <v/>
      </c>
      <c r="G33" s="83" t="str">
        <f>IF(SUM('Energy Data Entry'!C54,'Energy Data Entry'!H54,'Energy Data Entry'!M54,'Energy Data Entry'!R54,'Energy Data Entry'!W54)=0,"",SUM('Energy Data Entry'!C54,'Energy Data Entry'!H54,'Energy Data Entry'!M54,'Energy Data Entry'!R54,'Energy Data Entry'!W54))</f>
        <v/>
      </c>
      <c r="H33" s="83">
        <f>'Energy Data Entry'!AG54</f>
        <v>0</v>
      </c>
      <c r="I33" s="83" t="str">
        <f>IF(Table4[[#This Row],[Electric kWh usage]]="","",Table4[[#This Row],[Gas kWh usage]]+Table4[[#This Row],[Electric kWh usage]])</f>
        <v/>
      </c>
      <c r="J33" s="82" t="str">
        <f>IF(OR(Table4[[#This Row],[Electric kWh usage]]="",Table4[[#This Row],[Monthly Flow]]=""),"",(Table4[[#This Row],[Electric kWh usage]]+Table4[[#This Row],[Gas kWh usage]])/Table4[[#This Row],[Monthly Flow]])</f>
        <v/>
      </c>
      <c r="K33" s="84" t="str">
        <f>_xlfn.IFERROR(IF(Table4[[#This Row],[Electric kWh usage]]="","",(Table4[[#This Row],[Electric kWh usage]]+Table4[[#This Row],[Gas kWh usage]])/Table4[[#This Row],[Total BOD removed]]),"")</f>
        <v/>
      </c>
      <c r="L33" s="83" t="str">
        <f>IF('Energy Data Entry'!E54+'Energy Data Entry'!J54+'Energy Data Entry'!O54+'Energy Data Entry'!T54+'Energy Data Entry'!Y54=0,"",'Energy Data Entry'!E54+'Energy Data Entry'!J54+'Energy Data Entry'!O54+'Energy Data Entry'!T54+'Energy Data Entry'!Y54)</f>
        <v/>
      </c>
      <c r="M33" s="83" t="str">
        <f>IF('Energy Data Entry'!F54+'Energy Data Entry'!K54+'Energy Data Entry'!P54++'Energy Data Entry'!U54+'Energy Data Entry'!Z54=0,"",'Energy Data Entry'!F54+'Energy Data Entry'!K54+'Energy Data Entry'!P54++'Energy Data Entry'!U54+'Energy Data Entry'!Z54)</f>
        <v/>
      </c>
      <c r="N33" s="85" t="str">
        <f>IF('Energy Data Entry'!G54+'Energy Data Entry'!L54+'Energy Data Entry'!Q54+'Energy Data Entry'!V54+'Energy Data Entry'!AA54=0,"",'Energy Data Entry'!G54+'Energy Data Entry'!L54+'Energy Data Entry'!Q54+'Energy Data Entry'!V54+'Energy Data Entry'!AA54)</f>
        <v/>
      </c>
      <c r="O33" s="85" t="str">
        <f>IF('Energy Data Entry'!D54+'Energy Data Entry'!I54+'Energy Data Entry'!N54+'Energy Data Entry'!S54+'Energy Data Entry'!X54=0,"",'Energy Data Entry'!D54+'Energy Data Entry'!I54+'Energy Data Entry'!N54+'Energy Data Entry'!S54+'Energy Data Entry'!X54)</f>
        <v/>
      </c>
      <c r="P33" s="412">
        <f>'Energy Data Entry'!AF54</f>
        <v>0</v>
      </c>
      <c r="Q33" s="151" t="str">
        <f>_xlfn.IFERROR(Table4[[#This Row],[Total electric cost]]/Table4[[#This Row],[Electric kWh usage]],"")</f>
        <v/>
      </c>
      <c r="R33" s="151" t="str">
        <f>_xlfn.IFERROR(Table4[[#This Row],[Electric Demand Cost]]/Table4[[#This Row],[Total Electric Demand (Billed)]],_xlfn.IFERROR(Table4[[#This Row],[Electric Demand Cost]]/Table4[[#This Row],[Total Electric Demand (Actual)]],""))</f>
        <v/>
      </c>
      <c r="S33" s="85" t="str">
        <f>_xlfn.IFERROR(Table4[[#This Row],[Total Gas cost]]+Table4[[#This Row],[Total electric cost]],"")</f>
        <v/>
      </c>
      <c r="T33" s="111"/>
      <c r="U33" s="85" t="str">
        <f>_xlfn.IFERROR(Table4[[#This Row],[Total Energy Cost]]/Table4[[#This Row],[Monthly Flow]],"")</f>
        <v/>
      </c>
      <c r="V33" s="85" t="str">
        <f>_xlfn.IFERROR(Table4[[#This Row],[Total Energy Cost]]/Table4[[#This Row],[Total BOD removed]],"")</f>
        <v/>
      </c>
      <c r="W33" s="116"/>
      <c r="X33" s="86" t="str">
        <f>IF('Process Data Entry'!G35="","",'Process Data Entry'!G35)</f>
        <v/>
      </c>
      <c r="Y33" s="86" t="str">
        <f>IF('Process Data Entry'!H35="","",'Process Data Entry'!H35)</f>
        <v/>
      </c>
      <c r="Z33" s="86">
        <f>IF('Process Data Entry'!I35="",0,'Process Data Entry'!I35)</f>
        <v>0</v>
      </c>
      <c r="AA33" s="86" t="str">
        <f>IF('Process Data Entry'!J35="","",'Process Data Entry'!J35)</f>
        <v/>
      </c>
      <c r="AB33" s="86" t="str">
        <f>IF('Process Data Entry'!K35="","",'Process Data Entry'!K35)</f>
        <v/>
      </c>
      <c r="AC33" s="86" t="str">
        <f>IF('Process Data Entry'!L35="","",'Process Data Entry'!L35)</f>
        <v/>
      </c>
      <c r="AD33" s="87" t="str">
        <f t="shared" si="0"/>
        <v/>
      </c>
      <c r="AE33" s="87" t="str">
        <f t="shared" si="1"/>
        <v/>
      </c>
      <c r="AF33" s="150" t="str">
        <f>IF('Process Data Entry'!M35="","",'Process Data Entry'!M35)</f>
        <v/>
      </c>
      <c r="AG33" s="150" t="str">
        <f>IF('Process Data Entry'!N35="","",'Process Data Entry'!N35)</f>
        <v/>
      </c>
      <c r="AH33" s="81" t="str">
        <f t="shared" si="2"/>
        <v/>
      </c>
    </row>
    <row r="34" spans="1:34" ht="15">
      <c r="A34" s="78">
        <v>3</v>
      </c>
      <c r="B34" s="88">
        <f>'Energy Data Entry'!B55</f>
        <v>43862</v>
      </c>
      <c r="C34" s="80" t="str">
        <f>IF(OR('Process Data Entry'!C36="",'Process Data Entry'!C36=0),"",'Process Data Entry'!C36)</f>
        <v/>
      </c>
      <c r="D34" s="81" t="str">
        <f>IF(Table4[[#This Row],[Avg Daily Flow]]="","",_xlfn.DAYS(EOMONTH(B34,0),EOMONTH(B34,-1))*C34)</f>
        <v/>
      </c>
      <c r="E34" s="81" t="str">
        <f>IF('Process Data Entry'!F36="","",'Process Data Entry'!F36)</f>
        <v/>
      </c>
      <c r="F34" s="82" t="str">
        <f>IF(Table4[[#This Row],[BOD removed]]="","",Table4[[#This Row],[BOD removed]]*_xlfn.DAYS(EOMONTH(Table4[[#This Row],[Column2]],0),EOMONTH(Table4[[#This Row],[Column2]],-1)))</f>
        <v/>
      </c>
      <c r="G34" s="83" t="str">
        <f>IF(SUM('Energy Data Entry'!C55,'Energy Data Entry'!H55,'Energy Data Entry'!M55,'Energy Data Entry'!R55,'Energy Data Entry'!W55)=0,"",SUM('Energy Data Entry'!C55,'Energy Data Entry'!H55,'Energy Data Entry'!M55,'Energy Data Entry'!R55,'Energy Data Entry'!W55))</f>
        <v/>
      </c>
      <c r="H34" s="83">
        <f>'Energy Data Entry'!AG55</f>
        <v>0</v>
      </c>
      <c r="I34" s="83" t="str">
        <f>IF(Table4[[#This Row],[Electric kWh usage]]="","",Table4[[#This Row],[Gas kWh usage]]+Table4[[#This Row],[Electric kWh usage]])</f>
        <v/>
      </c>
      <c r="J34" s="82" t="str">
        <f>IF(OR(Table4[[#This Row],[Electric kWh usage]]="",Table4[[#This Row],[Monthly Flow]]=""),"",(Table4[[#This Row],[Electric kWh usage]]+Table4[[#This Row],[Gas kWh usage]])/Table4[[#This Row],[Monthly Flow]])</f>
        <v/>
      </c>
      <c r="K34" s="84" t="str">
        <f>_xlfn.IFERROR(IF(Table4[[#This Row],[Electric kWh usage]]="","",(Table4[[#This Row],[Electric kWh usage]]+Table4[[#This Row],[Gas kWh usage]])/Table4[[#This Row],[Total BOD removed]]),"")</f>
        <v/>
      </c>
      <c r="L34" s="83" t="str">
        <f>IF('Energy Data Entry'!E55+'Energy Data Entry'!J55+'Energy Data Entry'!O55+'Energy Data Entry'!T55+'Energy Data Entry'!Y55=0,"",'Energy Data Entry'!E55+'Energy Data Entry'!J55+'Energy Data Entry'!O55+'Energy Data Entry'!T55+'Energy Data Entry'!Y55)</f>
        <v/>
      </c>
      <c r="M34" s="83" t="str">
        <f>IF('Energy Data Entry'!F55+'Energy Data Entry'!K55+'Energy Data Entry'!P55++'Energy Data Entry'!U55+'Energy Data Entry'!Z55=0,"",'Energy Data Entry'!F55+'Energy Data Entry'!K55+'Energy Data Entry'!P55++'Energy Data Entry'!U55+'Energy Data Entry'!Z55)</f>
        <v/>
      </c>
      <c r="N34" s="85" t="str">
        <f>IF('Energy Data Entry'!G55+'Energy Data Entry'!L55+'Energy Data Entry'!Q55+'Energy Data Entry'!V55+'Energy Data Entry'!AA55=0,"",'Energy Data Entry'!G55+'Energy Data Entry'!L55+'Energy Data Entry'!Q55+'Energy Data Entry'!V55+'Energy Data Entry'!AA55)</f>
        <v/>
      </c>
      <c r="O34" s="85" t="str">
        <f>IF('Energy Data Entry'!D55+'Energy Data Entry'!I55+'Energy Data Entry'!N55+'Energy Data Entry'!S55+'Energy Data Entry'!X55=0,"",'Energy Data Entry'!D55+'Energy Data Entry'!I55+'Energy Data Entry'!N55+'Energy Data Entry'!S55+'Energy Data Entry'!X55)</f>
        <v/>
      </c>
      <c r="P34" s="412">
        <f>'Energy Data Entry'!AF55</f>
        <v>0</v>
      </c>
      <c r="Q34" s="151" t="str">
        <f>_xlfn.IFERROR(Table4[[#This Row],[Total electric cost]]/Table4[[#This Row],[Electric kWh usage]],"")</f>
        <v/>
      </c>
      <c r="R34" s="151" t="str">
        <f>_xlfn.IFERROR(Table4[[#This Row],[Electric Demand Cost]]/Table4[[#This Row],[Total Electric Demand (Billed)]],_xlfn.IFERROR(Table4[[#This Row],[Electric Demand Cost]]/Table4[[#This Row],[Total Electric Demand (Actual)]],""))</f>
        <v/>
      </c>
      <c r="S34" s="85" t="str">
        <f>_xlfn.IFERROR(Table4[[#This Row],[Total Gas cost]]+Table4[[#This Row],[Total electric cost]],"")</f>
        <v/>
      </c>
      <c r="T34" s="111"/>
      <c r="U34" s="85" t="str">
        <f>_xlfn.IFERROR(Table4[[#This Row],[Total Energy Cost]]/Table4[[#This Row],[Monthly Flow]],"")</f>
        <v/>
      </c>
      <c r="V34" s="85" t="str">
        <f>_xlfn.IFERROR(Table4[[#This Row],[Total Energy Cost]]/Table4[[#This Row],[Total BOD removed]],"")</f>
        <v/>
      </c>
      <c r="W34" s="116"/>
      <c r="X34" s="86" t="str">
        <f>IF('Process Data Entry'!G36="","",'Process Data Entry'!G36)</f>
        <v/>
      </c>
      <c r="Y34" s="86" t="str">
        <f>IF('Process Data Entry'!H36="","",'Process Data Entry'!H36)</f>
        <v/>
      </c>
      <c r="Z34" s="86">
        <f>IF('Process Data Entry'!I36="",0,'Process Data Entry'!I36)</f>
        <v>0</v>
      </c>
      <c r="AA34" s="86" t="str">
        <f>IF('Process Data Entry'!J36="","",'Process Data Entry'!J36)</f>
        <v/>
      </c>
      <c r="AB34" s="86" t="str">
        <f>IF('Process Data Entry'!K36="","",'Process Data Entry'!K36)</f>
        <v/>
      </c>
      <c r="AC34" s="86" t="str">
        <f>IF('Process Data Entry'!L36="","",'Process Data Entry'!L36)</f>
        <v/>
      </c>
      <c r="AD34" s="87" t="str">
        <f t="shared" si="0"/>
        <v/>
      </c>
      <c r="AE34" s="87" t="str">
        <f t="shared" si="1"/>
        <v/>
      </c>
      <c r="AF34" s="150" t="str">
        <f>IF('Process Data Entry'!M36="","",'Process Data Entry'!M36)</f>
        <v/>
      </c>
      <c r="AG34" s="150" t="str">
        <f>IF('Process Data Entry'!N36="","",'Process Data Entry'!N36)</f>
        <v/>
      </c>
      <c r="AH34" s="81" t="str">
        <f t="shared" si="2"/>
        <v/>
      </c>
    </row>
    <row r="35" spans="1:34" ht="15">
      <c r="A35" s="78">
        <v>3</v>
      </c>
      <c r="B35" s="88">
        <f>'Energy Data Entry'!B56</f>
        <v>43891</v>
      </c>
      <c r="C35" s="80" t="str">
        <f>IF(OR('Process Data Entry'!C37="",'Process Data Entry'!C37=0),"",'Process Data Entry'!C37)</f>
        <v/>
      </c>
      <c r="D35" s="81" t="str">
        <f>IF(Table4[[#This Row],[Avg Daily Flow]]="","",_xlfn.DAYS(EOMONTH(B35,0),EOMONTH(B35,-1))*C35)</f>
        <v/>
      </c>
      <c r="E35" s="81" t="str">
        <f>IF('Process Data Entry'!F37="","",'Process Data Entry'!F37)</f>
        <v/>
      </c>
      <c r="F35" s="82" t="str">
        <f>IF(Table4[[#This Row],[BOD removed]]="","",Table4[[#This Row],[BOD removed]]*_xlfn.DAYS(EOMONTH(Table4[[#This Row],[Column2]],0),EOMONTH(Table4[[#This Row],[Column2]],-1)))</f>
        <v/>
      </c>
      <c r="G35" s="83" t="str">
        <f>IF(SUM('Energy Data Entry'!C56,'Energy Data Entry'!H56,'Energy Data Entry'!M56,'Energy Data Entry'!R56,'Energy Data Entry'!W56)=0,"",SUM('Energy Data Entry'!C56,'Energy Data Entry'!H56,'Energy Data Entry'!M56,'Energy Data Entry'!R56,'Energy Data Entry'!W56))</f>
        <v/>
      </c>
      <c r="H35" s="83">
        <f>'Energy Data Entry'!AG56</f>
        <v>0</v>
      </c>
      <c r="I35" s="83" t="str">
        <f>IF(Table4[[#This Row],[Electric kWh usage]]="","",Table4[[#This Row],[Gas kWh usage]]+Table4[[#This Row],[Electric kWh usage]])</f>
        <v/>
      </c>
      <c r="J35" s="82" t="str">
        <f>IF(OR(Table4[[#This Row],[Electric kWh usage]]="",Table4[[#This Row],[Monthly Flow]]=""),"",(Table4[[#This Row],[Electric kWh usage]]+Table4[[#This Row],[Gas kWh usage]])/Table4[[#This Row],[Monthly Flow]])</f>
        <v/>
      </c>
      <c r="K35" s="84" t="str">
        <f>_xlfn.IFERROR(IF(Table4[[#This Row],[Electric kWh usage]]="","",(Table4[[#This Row],[Electric kWh usage]]+Table4[[#This Row],[Gas kWh usage]])/Table4[[#This Row],[Total BOD removed]]),"")</f>
        <v/>
      </c>
      <c r="L35" s="83" t="str">
        <f>IF('Energy Data Entry'!E56+'Energy Data Entry'!J56+'Energy Data Entry'!O56+'Energy Data Entry'!T56+'Energy Data Entry'!Y56=0,"",'Energy Data Entry'!E56+'Energy Data Entry'!J56+'Energy Data Entry'!O56+'Energy Data Entry'!T56+'Energy Data Entry'!Y56)</f>
        <v/>
      </c>
      <c r="M35" s="83" t="str">
        <f>IF('Energy Data Entry'!F56+'Energy Data Entry'!K56+'Energy Data Entry'!P56++'Energy Data Entry'!U56+'Energy Data Entry'!Z56=0,"",'Energy Data Entry'!F56+'Energy Data Entry'!K56+'Energy Data Entry'!P56++'Energy Data Entry'!U56+'Energy Data Entry'!Z56)</f>
        <v/>
      </c>
      <c r="N35" s="85" t="str">
        <f>IF('Energy Data Entry'!G56+'Energy Data Entry'!L56+'Energy Data Entry'!Q56+'Energy Data Entry'!V56+'Energy Data Entry'!AA56=0,"",'Energy Data Entry'!G56+'Energy Data Entry'!L56+'Energy Data Entry'!Q56+'Energy Data Entry'!V56+'Energy Data Entry'!AA56)</f>
        <v/>
      </c>
      <c r="O35" s="85" t="str">
        <f>IF('Energy Data Entry'!D56+'Energy Data Entry'!I56+'Energy Data Entry'!N56+'Energy Data Entry'!S56+'Energy Data Entry'!X56=0,"",'Energy Data Entry'!D56+'Energy Data Entry'!I56+'Energy Data Entry'!N56+'Energy Data Entry'!S56+'Energy Data Entry'!X56)</f>
        <v/>
      </c>
      <c r="P35" s="412">
        <f>'Energy Data Entry'!AF56</f>
        <v>0</v>
      </c>
      <c r="Q35" s="151" t="str">
        <f>_xlfn.IFERROR(Table4[[#This Row],[Total electric cost]]/Table4[[#This Row],[Electric kWh usage]],"")</f>
        <v/>
      </c>
      <c r="R35" s="151" t="str">
        <f>_xlfn.IFERROR(Table4[[#This Row],[Electric Demand Cost]]/Table4[[#This Row],[Total Electric Demand (Billed)]],_xlfn.IFERROR(Table4[[#This Row],[Electric Demand Cost]]/Table4[[#This Row],[Total Electric Demand (Actual)]],""))</f>
        <v/>
      </c>
      <c r="S35" s="85" t="str">
        <f>_xlfn.IFERROR(Table4[[#This Row],[Total Gas cost]]+Table4[[#This Row],[Total electric cost]],"")</f>
        <v/>
      </c>
      <c r="T35" s="111"/>
      <c r="U35" s="85" t="str">
        <f>_xlfn.IFERROR(Table4[[#This Row],[Total Energy Cost]]/Table4[[#This Row],[Monthly Flow]],"")</f>
        <v/>
      </c>
      <c r="V35" s="85" t="str">
        <f>_xlfn.IFERROR(Table4[[#This Row],[Total Energy Cost]]/Table4[[#This Row],[Total BOD removed]],"")</f>
        <v/>
      </c>
      <c r="W35" s="116"/>
      <c r="X35" s="86" t="str">
        <f>IF('Process Data Entry'!G37="","",'Process Data Entry'!G37)</f>
        <v/>
      </c>
      <c r="Y35" s="86" t="str">
        <f>IF('Process Data Entry'!H37="","",'Process Data Entry'!H37)</f>
        <v/>
      </c>
      <c r="Z35" s="86">
        <f>IF('Process Data Entry'!I37="",0,'Process Data Entry'!I37)</f>
        <v>0</v>
      </c>
      <c r="AA35" s="86" t="str">
        <f>IF('Process Data Entry'!J37="","",'Process Data Entry'!J37)</f>
        <v/>
      </c>
      <c r="AB35" s="86" t="str">
        <f>IF('Process Data Entry'!K37="","",'Process Data Entry'!K37)</f>
        <v/>
      </c>
      <c r="AC35" s="86" t="str">
        <f>IF('Process Data Entry'!L37="","",'Process Data Entry'!L37)</f>
        <v/>
      </c>
      <c r="AD35" s="87" t="str">
        <f t="shared" si="0"/>
        <v/>
      </c>
      <c r="AE35" s="87" t="str">
        <f t="shared" si="1"/>
        <v/>
      </c>
      <c r="AF35" s="150" t="str">
        <f>IF('Process Data Entry'!M37="","",'Process Data Entry'!M37)</f>
        <v/>
      </c>
      <c r="AG35" s="150" t="str">
        <f>IF('Process Data Entry'!N37="","",'Process Data Entry'!N37)</f>
        <v/>
      </c>
      <c r="AH35" s="81" t="str">
        <f t="shared" si="2"/>
        <v/>
      </c>
    </row>
    <row r="36" spans="1:34" ht="15">
      <c r="A36" s="78">
        <v>3</v>
      </c>
      <c r="B36" s="88">
        <f>'Energy Data Entry'!B57</f>
        <v>43922</v>
      </c>
      <c r="C36" s="80" t="str">
        <f>IF(OR('Process Data Entry'!C38="",'Process Data Entry'!C38=0),"",'Process Data Entry'!C38)</f>
        <v/>
      </c>
      <c r="D36" s="81" t="str">
        <f>IF(Table4[[#This Row],[Avg Daily Flow]]="","",_xlfn.DAYS(EOMONTH(B36,0),EOMONTH(B36,-1))*C36)</f>
        <v/>
      </c>
      <c r="E36" s="81" t="str">
        <f>IF('Process Data Entry'!F38="","",'Process Data Entry'!F38)</f>
        <v/>
      </c>
      <c r="F36" s="82" t="str">
        <f>IF(Table4[[#This Row],[BOD removed]]="","",Table4[[#This Row],[BOD removed]]*_xlfn.DAYS(EOMONTH(Table4[[#This Row],[Column2]],0),EOMONTH(Table4[[#This Row],[Column2]],-1)))</f>
        <v/>
      </c>
      <c r="G36" s="83" t="str">
        <f>IF(SUM('Energy Data Entry'!C57,'Energy Data Entry'!H57,'Energy Data Entry'!M57,'Energy Data Entry'!R57,'Energy Data Entry'!W57)=0,"",SUM('Energy Data Entry'!C57,'Energy Data Entry'!H57,'Energy Data Entry'!M57,'Energy Data Entry'!R57,'Energy Data Entry'!W57))</f>
        <v/>
      </c>
      <c r="H36" s="83">
        <f>'Energy Data Entry'!AG57</f>
        <v>0</v>
      </c>
      <c r="I36" s="83" t="str">
        <f>IF(Table4[[#This Row],[Electric kWh usage]]="","",Table4[[#This Row],[Gas kWh usage]]+Table4[[#This Row],[Electric kWh usage]])</f>
        <v/>
      </c>
      <c r="J36" s="82" t="str">
        <f>IF(OR(Table4[[#This Row],[Electric kWh usage]]="",Table4[[#This Row],[Monthly Flow]]=""),"",(Table4[[#This Row],[Electric kWh usage]]+Table4[[#This Row],[Gas kWh usage]])/Table4[[#This Row],[Monthly Flow]])</f>
        <v/>
      </c>
      <c r="K36" s="84" t="str">
        <f>_xlfn.IFERROR(IF(Table4[[#This Row],[Electric kWh usage]]="","",(Table4[[#This Row],[Electric kWh usage]]+Table4[[#This Row],[Gas kWh usage]])/Table4[[#This Row],[Total BOD removed]]),"")</f>
        <v/>
      </c>
      <c r="L36" s="83" t="str">
        <f>IF('Energy Data Entry'!E57+'Energy Data Entry'!J57+'Energy Data Entry'!O57+'Energy Data Entry'!T57+'Energy Data Entry'!Y57=0,"",'Energy Data Entry'!E57+'Energy Data Entry'!J57+'Energy Data Entry'!O57+'Energy Data Entry'!T57+'Energy Data Entry'!Y57)</f>
        <v/>
      </c>
      <c r="M36" s="83" t="str">
        <f>IF('Energy Data Entry'!F57+'Energy Data Entry'!K57+'Energy Data Entry'!P57++'Energy Data Entry'!U57+'Energy Data Entry'!Z57=0,"",'Energy Data Entry'!F57+'Energy Data Entry'!K57+'Energy Data Entry'!P57++'Energy Data Entry'!U57+'Energy Data Entry'!Z57)</f>
        <v/>
      </c>
      <c r="N36" s="85" t="str">
        <f>IF('Energy Data Entry'!G57+'Energy Data Entry'!L57+'Energy Data Entry'!Q57+'Energy Data Entry'!V57+'Energy Data Entry'!AA57=0,"",'Energy Data Entry'!G57+'Energy Data Entry'!L57+'Energy Data Entry'!Q57+'Energy Data Entry'!V57+'Energy Data Entry'!AA57)</f>
        <v/>
      </c>
      <c r="O36" s="85" t="str">
        <f>IF('Energy Data Entry'!D57+'Energy Data Entry'!I57+'Energy Data Entry'!N57+'Energy Data Entry'!S57+'Energy Data Entry'!X57=0,"",'Energy Data Entry'!D57+'Energy Data Entry'!I57+'Energy Data Entry'!N57+'Energy Data Entry'!S57+'Energy Data Entry'!X57)</f>
        <v/>
      </c>
      <c r="P36" s="412">
        <f>'Energy Data Entry'!AF57</f>
        <v>0</v>
      </c>
      <c r="Q36" s="151" t="str">
        <f>_xlfn.IFERROR(Table4[[#This Row],[Total electric cost]]/Table4[[#This Row],[Electric kWh usage]],"")</f>
        <v/>
      </c>
      <c r="R36" s="151" t="str">
        <f>_xlfn.IFERROR(Table4[[#This Row],[Electric Demand Cost]]/Table4[[#This Row],[Total Electric Demand (Billed)]],_xlfn.IFERROR(Table4[[#This Row],[Electric Demand Cost]]/Table4[[#This Row],[Total Electric Demand (Actual)]],""))</f>
        <v/>
      </c>
      <c r="S36" s="85" t="str">
        <f>_xlfn.IFERROR(Table4[[#This Row],[Total Gas cost]]+Table4[[#This Row],[Total electric cost]],"")</f>
        <v/>
      </c>
      <c r="T36" s="111"/>
      <c r="U36" s="85" t="str">
        <f>_xlfn.IFERROR(Table4[[#This Row],[Total Energy Cost]]/Table4[[#This Row],[Monthly Flow]],"")</f>
        <v/>
      </c>
      <c r="V36" s="85" t="str">
        <f>_xlfn.IFERROR(Table4[[#This Row],[Total Energy Cost]]/Table4[[#This Row],[Total BOD removed]],"")</f>
        <v/>
      </c>
      <c r="W36" s="116"/>
      <c r="X36" s="86" t="str">
        <f>IF('Process Data Entry'!G38="","",'Process Data Entry'!G38)</f>
        <v/>
      </c>
      <c r="Y36" s="86" t="str">
        <f>IF('Process Data Entry'!H38="","",'Process Data Entry'!H38)</f>
        <v/>
      </c>
      <c r="Z36" s="86">
        <f>IF('Process Data Entry'!I38="",0,'Process Data Entry'!I38)</f>
        <v>0</v>
      </c>
      <c r="AA36" s="86" t="str">
        <f>IF('Process Data Entry'!J38="","",'Process Data Entry'!J38)</f>
        <v/>
      </c>
      <c r="AB36" s="86" t="str">
        <f>IF('Process Data Entry'!K38="","",'Process Data Entry'!K38)</f>
        <v/>
      </c>
      <c r="AC36" s="86" t="str">
        <f>IF('Process Data Entry'!L38="","",'Process Data Entry'!L38)</f>
        <v/>
      </c>
      <c r="AD36" s="87" t="str">
        <f aca="true" t="shared" si="3" ref="AD36:AD67">_xlfn.IFERROR(IF(OR(X36="",AC36="",AND(AA36="",AB36=""),((X36+Z36)-(MAX(AA36,AB36)+AC36))&lt;0),"",(X36+Z36)-(MAX(AA36,AB36)+AC36)),"")</f>
        <v/>
      </c>
      <c r="AE36" s="87" t="str">
        <f aca="true" t="shared" si="4" ref="AE36:AE67">IF(OR(AD36="",D36=""),"",AD36*D36*8.34)</f>
        <v/>
      </c>
      <c r="AF36" s="150" t="str">
        <f>IF('Process Data Entry'!M38="","",'Process Data Entry'!M38)</f>
        <v/>
      </c>
      <c r="AG36" s="150" t="str">
        <f>IF('Process Data Entry'!N38="","",'Process Data Entry'!N38)</f>
        <v/>
      </c>
      <c r="AH36" s="81" t="str">
        <f aca="true" t="shared" si="5" ref="AH36:AH67">IF(OR(AF36="",AG36="",D36=""),"",8.34*D36*(AF36-AG36))</f>
        <v/>
      </c>
    </row>
    <row r="37" spans="1:34" ht="15">
      <c r="A37" s="78">
        <v>3</v>
      </c>
      <c r="B37" s="88">
        <f>'Energy Data Entry'!B58</f>
        <v>43952</v>
      </c>
      <c r="C37" s="80" t="str">
        <f>IF(OR('Process Data Entry'!C39="",'Process Data Entry'!C39=0),"",'Process Data Entry'!C39)</f>
        <v/>
      </c>
      <c r="D37" s="81" t="str">
        <f>IF(Table4[[#This Row],[Avg Daily Flow]]="","",_xlfn.DAYS(EOMONTH(B37,0),EOMONTH(B37,-1))*C37)</f>
        <v/>
      </c>
      <c r="E37" s="81" t="str">
        <f>IF('Process Data Entry'!F39="","",'Process Data Entry'!F39)</f>
        <v/>
      </c>
      <c r="F37" s="82" t="str">
        <f>IF(Table4[[#This Row],[BOD removed]]="","",Table4[[#This Row],[BOD removed]]*_xlfn.DAYS(EOMONTH(Table4[[#This Row],[Column2]],0),EOMONTH(Table4[[#This Row],[Column2]],-1)))</f>
        <v/>
      </c>
      <c r="G37" s="83" t="str">
        <f>IF(SUM('Energy Data Entry'!C58,'Energy Data Entry'!H58,'Energy Data Entry'!M58,'Energy Data Entry'!R58,'Energy Data Entry'!W58)=0,"",SUM('Energy Data Entry'!C58,'Energy Data Entry'!H58,'Energy Data Entry'!M58,'Energy Data Entry'!R58,'Energy Data Entry'!W58))</f>
        <v/>
      </c>
      <c r="H37" s="83">
        <f>'Energy Data Entry'!AG58</f>
        <v>0</v>
      </c>
      <c r="I37" s="83" t="str">
        <f>IF(Table4[[#This Row],[Electric kWh usage]]="","",Table4[[#This Row],[Gas kWh usage]]+Table4[[#This Row],[Electric kWh usage]])</f>
        <v/>
      </c>
      <c r="J37" s="82" t="str">
        <f>IF(OR(Table4[[#This Row],[Electric kWh usage]]="",Table4[[#This Row],[Monthly Flow]]=""),"",(Table4[[#This Row],[Electric kWh usage]]+Table4[[#This Row],[Gas kWh usage]])/Table4[[#This Row],[Monthly Flow]])</f>
        <v/>
      </c>
      <c r="K37" s="84" t="str">
        <f>_xlfn.IFERROR(IF(Table4[[#This Row],[Electric kWh usage]]="","",(Table4[[#This Row],[Electric kWh usage]]+Table4[[#This Row],[Gas kWh usage]])/Table4[[#This Row],[Total BOD removed]]),"")</f>
        <v/>
      </c>
      <c r="L37" s="83" t="str">
        <f>IF('Energy Data Entry'!E58+'Energy Data Entry'!J58+'Energy Data Entry'!O58+'Energy Data Entry'!T58+'Energy Data Entry'!Y58=0,"",'Energy Data Entry'!E58+'Energy Data Entry'!J58+'Energy Data Entry'!O58+'Energy Data Entry'!T58+'Energy Data Entry'!Y58)</f>
        <v/>
      </c>
      <c r="M37" s="83" t="str">
        <f>IF('Energy Data Entry'!F58+'Energy Data Entry'!K58+'Energy Data Entry'!P58++'Energy Data Entry'!U58+'Energy Data Entry'!Z58=0,"",'Energy Data Entry'!F58+'Energy Data Entry'!K58+'Energy Data Entry'!P58++'Energy Data Entry'!U58+'Energy Data Entry'!Z58)</f>
        <v/>
      </c>
      <c r="N37" s="85" t="str">
        <f>IF('Energy Data Entry'!G58+'Energy Data Entry'!L58+'Energy Data Entry'!Q58+'Energy Data Entry'!V58+'Energy Data Entry'!AA58=0,"",'Energy Data Entry'!G58+'Energy Data Entry'!L58+'Energy Data Entry'!Q58+'Energy Data Entry'!V58+'Energy Data Entry'!AA58)</f>
        <v/>
      </c>
      <c r="O37" s="85" t="str">
        <f>IF('Energy Data Entry'!D58+'Energy Data Entry'!I58+'Energy Data Entry'!N58+'Energy Data Entry'!S58+'Energy Data Entry'!X58=0,"",'Energy Data Entry'!D58+'Energy Data Entry'!I58+'Energy Data Entry'!N58+'Energy Data Entry'!S58+'Energy Data Entry'!X58)</f>
        <v/>
      </c>
      <c r="P37" s="412">
        <f>'Energy Data Entry'!AF58</f>
        <v>0</v>
      </c>
      <c r="Q37" s="151" t="str">
        <f>_xlfn.IFERROR(Table4[[#This Row],[Total electric cost]]/Table4[[#This Row],[Electric kWh usage]],"")</f>
        <v/>
      </c>
      <c r="R37" s="151" t="str">
        <f>_xlfn.IFERROR(Table4[[#This Row],[Electric Demand Cost]]/Table4[[#This Row],[Total Electric Demand (Billed)]],_xlfn.IFERROR(Table4[[#This Row],[Electric Demand Cost]]/Table4[[#This Row],[Total Electric Demand (Actual)]],""))</f>
        <v/>
      </c>
      <c r="S37" s="85" t="str">
        <f>_xlfn.IFERROR(Table4[[#This Row],[Total Gas cost]]+Table4[[#This Row],[Total electric cost]],"")</f>
        <v/>
      </c>
      <c r="T37" s="111"/>
      <c r="U37" s="85" t="str">
        <f>_xlfn.IFERROR(Table4[[#This Row],[Total Energy Cost]]/Table4[[#This Row],[Monthly Flow]],"")</f>
        <v/>
      </c>
      <c r="V37" s="85" t="str">
        <f>_xlfn.IFERROR(Table4[[#This Row],[Total Energy Cost]]/Table4[[#This Row],[Total BOD removed]],"")</f>
        <v/>
      </c>
      <c r="W37" s="116"/>
      <c r="X37" s="86" t="str">
        <f>IF('Process Data Entry'!G39="","",'Process Data Entry'!G39)</f>
        <v/>
      </c>
      <c r="Y37" s="86" t="str">
        <f>IF('Process Data Entry'!H39="","",'Process Data Entry'!H39)</f>
        <v/>
      </c>
      <c r="Z37" s="86">
        <f>IF('Process Data Entry'!I39="",0,'Process Data Entry'!I39)</f>
        <v>0</v>
      </c>
      <c r="AA37" s="86" t="str">
        <f>IF('Process Data Entry'!J39="","",'Process Data Entry'!J39)</f>
        <v/>
      </c>
      <c r="AB37" s="86" t="str">
        <f>IF('Process Data Entry'!K39="","",'Process Data Entry'!K39)</f>
        <v/>
      </c>
      <c r="AC37" s="86" t="str">
        <f>IF('Process Data Entry'!L39="","",'Process Data Entry'!L39)</f>
        <v/>
      </c>
      <c r="AD37" s="87" t="str">
        <f t="shared" si="3"/>
        <v/>
      </c>
      <c r="AE37" s="87" t="str">
        <f t="shared" si="4"/>
        <v/>
      </c>
      <c r="AF37" s="150" t="str">
        <f>IF('Process Data Entry'!M39="","",'Process Data Entry'!M39)</f>
        <v/>
      </c>
      <c r="AG37" s="150" t="str">
        <f>IF('Process Data Entry'!N39="","",'Process Data Entry'!N39)</f>
        <v/>
      </c>
      <c r="AH37" s="81" t="str">
        <f t="shared" si="5"/>
        <v/>
      </c>
    </row>
    <row r="38" spans="1:34" ht="15">
      <c r="A38" s="78">
        <v>3</v>
      </c>
      <c r="B38" s="88">
        <f>'Energy Data Entry'!B59</f>
        <v>43983</v>
      </c>
      <c r="C38" s="80" t="str">
        <f>IF(OR('Process Data Entry'!C40="",'Process Data Entry'!C40=0),"",'Process Data Entry'!C40)</f>
        <v/>
      </c>
      <c r="D38" s="81" t="str">
        <f>IF(Table4[[#This Row],[Avg Daily Flow]]="","",_xlfn.DAYS(EOMONTH(B38,0),EOMONTH(B38,-1))*C38)</f>
        <v/>
      </c>
      <c r="E38" s="81" t="str">
        <f>IF('Process Data Entry'!F40="","",'Process Data Entry'!F40)</f>
        <v/>
      </c>
      <c r="F38" s="82" t="str">
        <f>IF(Table4[[#This Row],[BOD removed]]="","",Table4[[#This Row],[BOD removed]]*_xlfn.DAYS(EOMONTH(Table4[[#This Row],[Column2]],0),EOMONTH(Table4[[#This Row],[Column2]],-1)))</f>
        <v/>
      </c>
      <c r="G38" s="83" t="str">
        <f>IF(SUM('Energy Data Entry'!C59,'Energy Data Entry'!H59,'Energy Data Entry'!M59,'Energy Data Entry'!R59,'Energy Data Entry'!W59)=0,"",SUM('Energy Data Entry'!C59,'Energy Data Entry'!H59,'Energy Data Entry'!M59,'Energy Data Entry'!R59,'Energy Data Entry'!W59))</f>
        <v/>
      </c>
      <c r="H38" s="83">
        <f>'Energy Data Entry'!AG59</f>
        <v>0</v>
      </c>
      <c r="I38" s="83" t="str">
        <f>IF(Table4[[#This Row],[Electric kWh usage]]="","",Table4[[#This Row],[Gas kWh usage]]+Table4[[#This Row],[Electric kWh usage]])</f>
        <v/>
      </c>
      <c r="J38" s="82" t="str">
        <f>IF(OR(Table4[[#This Row],[Electric kWh usage]]="",Table4[[#This Row],[Monthly Flow]]=""),"",(Table4[[#This Row],[Electric kWh usage]]+Table4[[#This Row],[Gas kWh usage]])/Table4[[#This Row],[Monthly Flow]])</f>
        <v/>
      </c>
      <c r="K38" s="84" t="str">
        <f>_xlfn.IFERROR(IF(Table4[[#This Row],[Electric kWh usage]]="","",(Table4[[#This Row],[Electric kWh usage]]+Table4[[#This Row],[Gas kWh usage]])/Table4[[#This Row],[Total BOD removed]]),"")</f>
        <v/>
      </c>
      <c r="L38" s="83" t="str">
        <f>IF('Energy Data Entry'!E59+'Energy Data Entry'!J59+'Energy Data Entry'!O59+'Energy Data Entry'!T59+'Energy Data Entry'!Y59=0,"",'Energy Data Entry'!E59+'Energy Data Entry'!J59+'Energy Data Entry'!O59+'Energy Data Entry'!T59+'Energy Data Entry'!Y59)</f>
        <v/>
      </c>
      <c r="M38" s="83" t="str">
        <f>IF('Energy Data Entry'!F59+'Energy Data Entry'!K59+'Energy Data Entry'!P59++'Energy Data Entry'!U59+'Energy Data Entry'!Z59=0,"",'Energy Data Entry'!F59+'Energy Data Entry'!K59+'Energy Data Entry'!P59++'Energy Data Entry'!U59+'Energy Data Entry'!Z59)</f>
        <v/>
      </c>
      <c r="N38" s="85" t="str">
        <f>IF('Energy Data Entry'!G59+'Energy Data Entry'!L59+'Energy Data Entry'!Q59+'Energy Data Entry'!V59+'Energy Data Entry'!AA59=0,"",'Energy Data Entry'!G59+'Energy Data Entry'!L59+'Energy Data Entry'!Q59+'Energy Data Entry'!V59+'Energy Data Entry'!AA59)</f>
        <v/>
      </c>
      <c r="O38" s="85" t="str">
        <f>IF('Energy Data Entry'!D59+'Energy Data Entry'!I59+'Energy Data Entry'!N59+'Energy Data Entry'!S59+'Energy Data Entry'!X59=0,"",'Energy Data Entry'!D59+'Energy Data Entry'!I59+'Energy Data Entry'!N59+'Energy Data Entry'!S59+'Energy Data Entry'!X59)</f>
        <v/>
      </c>
      <c r="P38" s="412">
        <f>'Energy Data Entry'!AF59</f>
        <v>0</v>
      </c>
      <c r="Q38" s="151" t="str">
        <f>_xlfn.IFERROR(Table4[[#This Row],[Total electric cost]]/Table4[[#This Row],[Electric kWh usage]],"")</f>
        <v/>
      </c>
      <c r="R38" s="151" t="str">
        <f>_xlfn.IFERROR(Table4[[#This Row],[Electric Demand Cost]]/Table4[[#This Row],[Total Electric Demand (Billed)]],_xlfn.IFERROR(Table4[[#This Row],[Electric Demand Cost]]/Table4[[#This Row],[Total Electric Demand (Actual)]],""))</f>
        <v/>
      </c>
      <c r="S38" s="85" t="str">
        <f>_xlfn.IFERROR(Table4[[#This Row],[Total Gas cost]]+Table4[[#This Row],[Total electric cost]],"")</f>
        <v/>
      </c>
      <c r="T38" s="111"/>
      <c r="U38" s="85" t="str">
        <f>_xlfn.IFERROR(Table4[[#This Row],[Total Energy Cost]]/Table4[[#This Row],[Monthly Flow]],"")</f>
        <v/>
      </c>
      <c r="V38" s="85" t="str">
        <f>_xlfn.IFERROR(Table4[[#This Row],[Total Energy Cost]]/Table4[[#This Row],[Total BOD removed]],"")</f>
        <v/>
      </c>
      <c r="W38" s="116"/>
      <c r="X38" s="86" t="str">
        <f>IF('Process Data Entry'!G40="","",'Process Data Entry'!G40)</f>
        <v/>
      </c>
      <c r="Y38" s="86" t="str">
        <f>IF('Process Data Entry'!H40="","",'Process Data Entry'!H40)</f>
        <v/>
      </c>
      <c r="Z38" s="86">
        <f>IF('Process Data Entry'!I40="",0,'Process Data Entry'!I40)</f>
        <v>0</v>
      </c>
      <c r="AA38" s="86" t="str">
        <f>IF('Process Data Entry'!J40="","",'Process Data Entry'!J40)</f>
        <v/>
      </c>
      <c r="AB38" s="86" t="str">
        <f>IF('Process Data Entry'!K40="","",'Process Data Entry'!K40)</f>
        <v/>
      </c>
      <c r="AC38" s="86" t="str">
        <f>IF('Process Data Entry'!L40="","",'Process Data Entry'!L40)</f>
        <v/>
      </c>
      <c r="AD38" s="87" t="str">
        <f t="shared" si="3"/>
        <v/>
      </c>
      <c r="AE38" s="87" t="str">
        <f t="shared" si="4"/>
        <v/>
      </c>
      <c r="AF38" s="150" t="str">
        <f>IF('Process Data Entry'!M40="","",'Process Data Entry'!M40)</f>
        <v/>
      </c>
      <c r="AG38" s="150" t="str">
        <f>IF('Process Data Entry'!N40="","",'Process Data Entry'!N40)</f>
        <v/>
      </c>
      <c r="AH38" s="81" t="str">
        <f t="shared" si="5"/>
        <v/>
      </c>
    </row>
    <row r="39" spans="1:34" s="105" customFormat="1" ht="15" thickBot="1">
      <c r="A39" s="97">
        <v>3</v>
      </c>
      <c r="B39" s="107">
        <f>'Energy Data Entry'!B60</f>
        <v>44013</v>
      </c>
      <c r="C39" s="361" t="str">
        <f>IF(OR('Process Data Entry'!C41="",'Process Data Entry'!C41=0),"",'Process Data Entry'!C41)</f>
        <v/>
      </c>
      <c r="D39" s="99" t="str">
        <f>IF(Table4[[#This Row],[Avg Daily Flow]]="","",_xlfn.DAYS(EOMONTH(B39,0),EOMONTH(B39,-1))*C39)</f>
        <v/>
      </c>
      <c r="E39" s="99" t="str">
        <f>IF('Process Data Entry'!F41="","",'Process Data Entry'!F41)</f>
        <v/>
      </c>
      <c r="F39" s="100" t="str">
        <f>IF(Table4[[#This Row],[BOD removed]]="","",Table4[[#This Row],[BOD removed]]*_xlfn.DAYS(EOMONTH(Table4[[#This Row],[Column2]],0),EOMONTH(Table4[[#This Row],[Column2]],-1)))</f>
        <v/>
      </c>
      <c r="G39" s="101" t="str">
        <f>IF(SUM('Energy Data Entry'!C60,'Energy Data Entry'!H60,'Energy Data Entry'!M60,'Energy Data Entry'!R60,'Energy Data Entry'!W60)=0,"",SUM('Energy Data Entry'!C60,'Energy Data Entry'!H60,'Energy Data Entry'!M60,'Energy Data Entry'!R60,'Energy Data Entry'!W60))</f>
        <v/>
      </c>
      <c r="H39" s="101">
        <f>'Energy Data Entry'!AG60</f>
        <v>0</v>
      </c>
      <c r="I39" s="101" t="str">
        <f>IF(Table4[[#This Row],[Electric kWh usage]]="","",Table4[[#This Row],[Gas kWh usage]]+Table4[[#This Row],[Electric kWh usage]])</f>
        <v/>
      </c>
      <c r="J39" s="100" t="str">
        <f>IF(OR(Table4[[#This Row],[Electric kWh usage]]="",Table4[[#This Row],[Monthly Flow]]=""),"",(Table4[[#This Row],[Electric kWh usage]]+Table4[[#This Row],[Gas kWh usage]])/Table4[[#This Row],[Monthly Flow]])</f>
        <v/>
      </c>
      <c r="K39" s="102" t="str">
        <f>_xlfn.IFERROR(IF(Table4[[#This Row],[Electric kWh usage]]="","",(Table4[[#This Row],[Electric kWh usage]]+Table4[[#This Row],[Gas kWh usage]])/Table4[[#This Row],[Total BOD removed]]),"")</f>
        <v/>
      </c>
      <c r="L39" s="101" t="str">
        <f>IF('Energy Data Entry'!E60+'Energy Data Entry'!J60+'Energy Data Entry'!O60+'Energy Data Entry'!T60+'Energy Data Entry'!Y60=0,"",'Energy Data Entry'!E60+'Energy Data Entry'!J60+'Energy Data Entry'!O60+'Energy Data Entry'!T60+'Energy Data Entry'!Y60)</f>
        <v/>
      </c>
      <c r="M39" s="101" t="str">
        <f>IF('Energy Data Entry'!F60+'Energy Data Entry'!K60+'Energy Data Entry'!P60++'Energy Data Entry'!U60+'Energy Data Entry'!Z60=0,"",'Energy Data Entry'!F60+'Energy Data Entry'!K60+'Energy Data Entry'!P60++'Energy Data Entry'!U60+'Energy Data Entry'!Z60)</f>
        <v/>
      </c>
      <c r="N39" s="103" t="str">
        <f>IF('Energy Data Entry'!G60+'Energy Data Entry'!L60+'Energy Data Entry'!Q60+'Energy Data Entry'!V60+'Energy Data Entry'!AA60=0,"",'Energy Data Entry'!G60+'Energy Data Entry'!L60+'Energy Data Entry'!Q60+'Energy Data Entry'!V60+'Energy Data Entry'!AA60)</f>
        <v/>
      </c>
      <c r="O39" s="103" t="str">
        <f>IF('Energy Data Entry'!D60+'Energy Data Entry'!I60+'Energy Data Entry'!N60+'Energy Data Entry'!S60+'Energy Data Entry'!X60=0,"",'Energy Data Entry'!D60+'Energy Data Entry'!I60+'Energy Data Entry'!N60+'Energy Data Entry'!S60+'Energy Data Entry'!X60)</f>
        <v/>
      </c>
      <c r="P39" s="413">
        <f>'Energy Data Entry'!AF60</f>
        <v>0</v>
      </c>
      <c r="Q39" s="152" t="str">
        <f>_xlfn.IFERROR(Table4[[#This Row],[Total electric cost]]/Table4[[#This Row],[Electric kWh usage]],"")</f>
        <v/>
      </c>
      <c r="R39" s="152" t="str">
        <f>_xlfn.IFERROR(Table4[[#This Row],[Electric Demand Cost]]/Table4[[#This Row],[Total Electric Demand (Billed)]],_xlfn.IFERROR(Table4[[#This Row],[Electric Demand Cost]]/Table4[[#This Row],[Total Electric Demand (Actual)]],""))</f>
        <v/>
      </c>
      <c r="S39" s="103" t="str">
        <f>_xlfn.IFERROR(Table4[[#This Row],[Total Gas cost]]+Table4[[#This Row],[Total electric cost]],"")</f>
        <v/>
      </c>
      <c r="T39" s="112"/>
      <c r="U39" s="103" t="str">
        <f>_xlfn.IFERROR(Table4[[#This Row],[Total Energy Cost]]/Table4[[#This Row],[Monthly Flow]],"")</f>
        <v/>
      </c>
      <c r="V39" s="103" t="str">
        <f>_xlfn.IFERROR(Table4[[#This Row],[Total Energy Cost]]/Table4[[#This Row],[Total BOD removed]],"")</f>
        <v/>
      </c>
      <c r="W39" s="362"/>
      <c r="X39" s="104" t="str">
        <f>IF('Process Data Entry'!G41="","",'Process Data Entry'!G41)</f>
        <v/>
      </c>
      <c r="Y39" s="104" t="str">
        <f>IF('Process Data Entry'!H41="","",'Process Data Entry'!H41)</f>
        <v/>
      </c>
      <c r="Z39" s="104">
        <f>IF('Process Data Entry'!I41="",0,'Process Data Entry'!I41)</f>
        <v>0</v>
      </c>
      <c r="AA39" s="104" t="str">
        <f>IF('Process Data Entry'!J41="","",'Process Data Entry'!J41)</f>
        <v/>
      </c>
      <c r="AB39" s="104" t="str">
        <f>IF('Process Data Entry'!K41="","",'Process Data Entry'!K41)</f>
        <v/>
      </c>
      <c r="AC39" s="104" t="str">
        <f>IF('Process Data Entry'!L41="","",'Process Data Entry'!L41)</f>
        <v/>
      </c>
      <c r="AD39" s="363" t="str">
        <f t="shared" si="3"/>
        <v/>
      </c>
      <c r="AE39" s="363" t="str">
        <f t="shared" si="4"/>
        <v/>
      </c>
      <c r="AF39" s="364" t="str">
        <f>IF('Process Data Entry'!M41="","",'Process Data Entry'!M41)</f>
        <v/>
      </c>
      <c r="AG39" s="364" t="str">
        <f>IF('Process Data Entry'!N41="","",'Process Data Entry'!N41)</f>
        <v/>
      </c>
      <c r="AH39" s="99" t="str">
        <f t="shared" si="5"/>
        <v/>
      </c>
    </row>
    <row r="40" spans="1:34" ht="15">
      <c r="A40" s="89">
        <v>4</v>
      </c>
      <c r="B40" s="106">
        <f>'Energy Data Entry'!B61</f>
        <v>44044</v>
      </c>
      <c r="C40" s="365" t="str">
        <f>IF(OR('Process Data Entry'!C42="",'Process Data Entry'!C42=0),"",'Process Data Entry'!C42)</f>
        <v/>
      </c>
      <c r="D40" s="91" t="str">
        <f>IF(Table4[[#This Row],[Avg Daily Flow]]="","",_xlfn.DAYS(EOMONTH(B40,0),EOMONTH(B40,-1))*C40)</f>
        <v/>
      </c>
      <c r="E40" s="91" t="str">
        <f>IF('Process Data Entry'!F42="","",'Process Data Entry'!F42)</f>
        <v/>
      </c>
      <c r="F40" s="92" t="str">
        <f>IF(Table4[[#This Row],[BOD removed]]="","",Table4[[#This Row],[BOD removed]]*_xlfn.DAYS(EOMONTH(Table4[[#This Row],[Column2]],0),EOMONTH(Table4[[#This Row],[Column2]],-1)))</f>
        <v/>
      </c>
      <c r="G40" s="93" t="str">
        <f>IF(SUM('Energy Data Entry'!C61,'Energy Data Entry'!H61,'Energy Data Entry'!M61,'Energy Data Entry'!R61,'Energy Data Entry'!W61)=0,"",SUM('Energy Data Entry'!C61,'Energy Data Entry'!H61,'Energy Data Entry'!M61,'Energy Data Entry'!R61,'Energy Data Entry'!W61))</f>
        <v/>
      </c>
      <c r="H40" s="93">
        <f>'Energy Data Entry'!AG61</f>
        <v>0</v>
      </c>
      <c r="I40" s="93" t="str">
        <f>IF(Table4[[#This Row],[Electric kWh usage]]="","",Table4[[#This Row],[Gas kWh usage]]+Table4[[#This Row],[Electric kWh usage]])</f>
        <v/>
      </c>
      <c r="J40" s="92" t="str">
        <f>IF(OR(Table4[[#This Row],[Electric kWh usage]]="",Table4[[#This Row],[Monthly Flow]]=""),"",(Table4[[#This Row],[Electric kWh usage]]+Table4[[#This Row],[Gas kWh usage]])/Table4[[#This Row],[Monthly Flow]])</f>
        <v/>
      </c>
      <c r="K40" s="94" t="str">
        <f>_xlfn.IFERROR(IF(Table4[[#This Row],[Electric kWh usage]]="","",(Table4[[#This Row],[Electric kWh usage]]+Table4[[#This Row],[Gas kWh usage]])/Table4[[#This Row],[Total BOD removed]]),"")</f>
        <v/>
      </c>
      <c r="L40" s="93" t="str">
        <f>IF('Energy Data Entry'!E61+'Energy Data Entry'!J61+'Energy Data Entry'!O61+'Energy Data Entry'!T61+'Energy Data Entry'!Y61=0,"",'Energy Data Entry'!E61+'Energy Data Entry'!J61+'Energy Data Entry'!O61+'Energy Data Entry'!T61+'Energy Data Entry'!Y61)</f>
        <v/>
      </c>
      <c r="M40" s="93" t="str">
        <f>IF('Energy Data Entry'!F61+'Energy Data Entry'!K61+'Energy Data Entry'!P61++'Energy Data Entry'!U61+'Energy Data Entry'!Z61=0,"",'Energy Data Entry'!F61+'Energy Data Entry'!K61+'Energy Data Entry'!P61++'Energy Data Entry'!U61+'Energy Data Entry'!Z61)</f>
        <v/>
      </c>
      <c r="N40" s="95" t="str">
        <f>IF('Energy Data Entry'!G61+'Energy Data Entry'!L61+'Energy Data Entry'!Q61+'Energy Data Entry'!V61+'Energy Data Entry'!AA61=0,"",'Energy Data Entry'!G61+'Energy Data Entry'!L61+'Energy Data Entry'!Q61+'Energy Data Entry'!V61+'Energy Data Entry'!AA61)</f>
        <v/>
      </c>
      <c r="O40" s="95" t="str">
        <f>IF('Energy Data Entry'!D61+'Energy Data Entry'!I61+'Energy Data Entry'!N61+'Energy Data Entry'!S61+'Energy Data Entry'!X61=0,"",'Energy Data Entry'!D61+'Energy Data Entry'!I61+'Energy Data Entry'!N61+'Energy Data Entry'!S61+'Energy Data Entry'!X61)</f>
        <v/>
      </c>
      <c r="P40" s="414">
        <f>'Energy Data Entry'!AF61</f>
        <v>0</v>
      </c>
      <c r="Q40" s="153" t="str">
        <f>_xlfn.IFERROR(Table4[[#This Row],[Total electric cost]]/Table4[[#This Row],[Electric kWh usage]],"")</f>
        <v/>
      </c>
      <c r="R40" s="153" t="str">
        <f>_xlfn.IFERROR(Table4[[#This Row],[Electric Demand Cost]]/Table4[[#This Row],[Total Electric Demand (Billed)]],_xlfn.IFERROR(Table4[[#This Row],[Electric Demand Cost]]/Table4[[#This Row],[Total Electric Demand (Actual)]],""))</f>
        <v/>
      </c>
      <c r="S40" s="95" t="str">
        <f>_xlfn.IFERROR(Table4[[#This Row],[Total Gas cost]]+Table4[[#This Row],[Total electric cost]],"")</f>
        <v/>
      </c>
      <c r="T40" s="113"/>
      <c r="U40" s="95" t="str">
        <f>_xlfn.IFERROR(Table4[[#This Row],[Total Energy Cost]]/Table4[[#This Row],[Monthly Flow]],"")</f>
        <v/>
      </c>
      <c r="V40" s="95" t="str">
        <f>_xlfn.IFERROR(Table4[[#This Row],[Total Energy Cost]]/Table4[[#This Row],[Total BOD removed]],"")</f>
        <v/>
      </c>
      <c r="W40" s="116"/>
      <c r="X40" s="96" t="str">
        <f>IF('Process Data Entry'!G42="","",'Process Data Entry'!G42)</f>
        <v/>
      </c>
      <c r="Y40" s="96" t="str">
        <f>IF('Process Data Entry'!H42="","",'Process Data Entry'!H42)</f>
        <v/>
      </c>
      <c r="Z40" s="96">
        <f>IF('Process Data Entry'!I42="",0,'Process Data Entry'!I42)</f>
        <v>0</v>
      </c>
      <c r="AA40" s="96" t="str">
        <f>IF('Process Data Entry'!J42="","",'Process Data Entry'!J42)</f>
        <v/>
      </c>
      <c r="AB40" s="96" t="str">
        <f>IF('Process Data Entry'!K42="","",'Process Data Entry'!K42)</f>
        <v/>
      </c>
      <c r="AC40" s="96" t="str">
        <f>IF('Process Data Entry'!L42="","",'Process Data Entry'!L42)</f>
        <v/>
      </c>
      <c r="AD40" s="366" t="str">
        <f t="shared" si="3"/>
        <v/>
      </c>
      <c r="AE40" s="366" t="str">
        <f t="shared" si="4"/>
        <v/>
      </c>
      <c r="AF40" s="367" t="str">
        <f>IF('Process Data Entry'!M42="","",'Process Data Entry'!M42)</f>
        <v/>
      </c>
      <c r="AG40" s="367" t="str">
        <f>IF('Process Data Entry'!N42="","",'Process Data Entry'!N42)</f>
        <v/>
      </c>
      <c r="AH40" s="91" t="str">
        <f t="shared" si="5"/>
        <v/>
      </c>
    </row>
    <row r="41" spans="1:34" ht="15">
      <c r="A41" s="78">
        <v>4</v>
      </c>
      <c r="B41" s="88">
        <f>'Energy Data Entry'!B62</f>
        <v>44075</v>
      </c>
      <c r="C41" s="80" t="str">
        <f>IF(OR('Process Data Entry'!C43="",'Process Data Entry'!C43=0),"",'Process Data Entry'!C43)</f>
        <v/>
      </c>
      <c r="D41" s="81" t="str">
        <f>IF(Table4[[#This Row],[Avg Daily Flow]]="","",_xlfn.DAYS(EOMONTH(B41,0),EOMONTH(B41,-1))*C41)</f>
        <v/>
      </c>
      <c r="E41" s="81" t="str">
        <f>IF('Process Data Entry'!F43="","",'Process Data Entry'!F43)</f>
        <v/>
      </c>
      <c r="F41" s="82" t="str">
        <f>IF(Table4[[#This Row],[BOD removed]]="","",Table4[[#This Row],[BOD removed]]*_xlfn.DAYS(EOMONTH(Table4[[#This Row],[Column2]],0),EOMONTH(Table4[[#This Row],[Column2]],-1)))</f>
        <v/>
      </c>
      <c r="G41" s="83" t="str">
        <f>IF(SUM('Energy Data Entry'!C62,'Energy Data Entry'!H62,'Energy Data Entry'!M62,'Energy Data Entry'!R62,'Energy Data Entry'!W62)=0,"",SUM('Energy Data Entry'!C62,'Energy Data Entry'!H62,'Energy Data Entry'!M62,'Energy Data Entry'!R62,'Energy Data Entry'!W62))</f>
        <v/>
      </c>
      <c r="H41" s="83">
        <f>'Energy Data Entry'!AG62</f>
        <v>0</v>
      </c>
      <c r="I41" s="83" t="str">
        <f>IF(Table4[[#This Row],[Electric kWh usage]]="","",Table4[[#This Row],[Gas kWh usage]]+Table4[[#This Row],[Electric kWh usage]])</f>
        <v/>
      </c>
      <c r="J41" s="82" t="str">
        <f>IF(OR(Table4[[#This Row],[Electric kWh usage]]="",Table4[[#This Row],[Monthly Flow]]=""),"",(Table4[[#This Row],[Electric kWh usage]]+Table4[[#This Row],[Gas kWh usage]])/Table4[[#This Row],[Monthly Flow]])</f>
        <v/>
      </c>
      <c r="K41" s="84" t="str">
        <f>_xlfn.IFERROR(IF(Table4[[#This Row],[Electric kWh usage]]="","",(Table4[[#This Row],[Electric kWh usage]]+Table4[[#This Row],[Gas kWh usage]])/Table4[[#This Row],[Total BOD removed]]),"")</f>
        <v/>
      </c>
      <c r="L41" s="83" t="str">
        <f>IF('Energy Data Entry'!E62+'Energy Data Entry'!J62+'Energy Data Entry'!O62+'Energy Data Entry'!T62+'Energy Data Entry'!Y62=0,"",'Energy Data Entry'!E62+'Energy Data Entry'!J62+'Energy Data Entry'!O62+'Energy Data Entry'!T62+'Energy Data Entry'!Y62)</f>
        <v/>
      </c>
      <c r="M41" s="83" t="str">
        <f>IF('Energy Data Entry'!F62+'Energy Data Entry'!K62+'Energy Data Entry'!P62++'Energy Data Entry'!U62+'Energy Data Entry'!Z62=0,"",'Energy Data Entry'!F62+'Energy Data Entry'!K62+'Energy Data Entry'!P62++'Energy Data Entry'!U62+'Energy Data Entry'!Z62)</f>
        <v/>
      </c>
      <c r="N41" s="85" t="str">
        <f>IF('Energy Data Entry'!G62+'Energy Data Entry'!L62+'Energy Data Entry'!Q62+'Energy Data Entry'!V62+'Energy Data Entry'!AA62=0,"",'Energy Data Entry'!G62+'Energy Data Entry'!L62+'Energy Data Entry'!Q62+'Energy Data Entry'!V62+'Energy Data Entry'!AA62)</f>
        <v/>
      </c>
      <c r="O41" s="85" t="str">
        <f>IF('Energy Data Entry'!D62+'Energy Data Entry'!I62+'Energy Data Entry'!N62+'Energy Data Entry'!S62+'Energy Data Entry'!X62=0,"",'Energy Data Entry'!D62+'Energy Data Entry'!I62+'Energy Data Entry'!N62+'Energy Data Entry'!S62+'Energy Data Entry'!X62)</f>
        <v/>
      </c>
      <c r="P41" s="412">
        <f>'Energy Data Entry'!AF62</f>
        <v>0</v>
      </c>
      <c r="Q41" s="151" t="str">
        <f>_xlfn.IFERROR(Table4[[#This Row],[Total electric cost]]/Table4[[#This Row],[Electric kWh usage]],"")</f>
        <v/>
      </c>
      <c r="R41" s="151" t="str">
        <f>_xlfn.IFERROR(Table4[[#This Row],[Electric Demand Cost]]/Table4[[#This Row],[Total Electric Demand (Billed)]],_xlfn.IFERROR(Table4[[#This Row],[Electric Demand Cost]]/Table4[[#This Row],[Total Electric Demand (Actual)]],""))</f>
        <v/>
      </c>
      <c r="S41" s="85" t="str">
        <f>_xlfn.IFERROR(Table4[[#This Row],[Total Gas cost]]+Table4[[#This Row],[Total electric cost]],"")</f>
        <v/>
      </c>
      <c r="T41" s="111"/>
      <c r="U41" s="85" t="str">
        <f>_xlfn.IFERROR(Table4[[#This Row],[Total Energy Cost]]/Table4[[#This Row],[Monthly Flow]],"")</f>
        <v/>
      </c>
      <c r="V41" s="85" t="str">
        <f>_xlfn.IFERROR(Table4[[#This Row],[Total Energy Cost]]/Table4[[#This Row],[Total BOD removed]],"")</f>
        <v/>
      </c>
      <c r="W41" s="116"/>
      <c r="X41" s="86" t="str">
        <f>IF('Process Data Entry'!G43="","",'Process Data Entry'!G43)</f>
        <v/>
      </c>
      <c r="Y41" s="86" t="str">
        <f>IF('Process Data Entry'!H43="","",'Process Data Entry'!H43)</f>
        <v/>
      </c>
      <c r="Z41" s="86">
        <f>IF('Process Data Entry'!I43="",0,'Process Data Entry'!I43)</f>
        <v>0</v>
      </c>
      <c r="AA41" s="86" t="str">
        <f>IF('Process Data Entry'!J43="","",'Process Data Entry'!J43)</f>
        <v/>
      </c>
      <c r="AB41" s="86" t="str">
        <f>IF('Process Data Entry'!K43="","",'Process Data Entry'!K43)</f>
        <v/>
      </c>
      <c r="AC41" s="86" t="str">
        <f>IF('Process Data Entry'!L43="","",'Process Data Entry'!L43)</f>
        <v/>
      </c>
      <c r="AD41" s="87" t="str">
        <f t="shared" si="3"/>
        <v/>
      </c>
      <c r="AE41" s="87" t="str">
        <f t="shared" si="4"/>
        <v/>
      </c>
      <c r="AF41" s="150" t="str">
        <f>IF('Process Data Entry'!M43="","",'Process Data Entry'!M43)</f>
        <v/>
      </c>
      <c r="AG41" s="150" t="str">
        <f>IF('Process Data Entry'!N43="","",'Process Data Entry'!N43)</f>
        <v/>
      </c>
      <c r="AH41" s="81" t="str">
        <f t="shared" si="5"/>
        <v/>
      </c>
    </row>
    <row r="42" spans="1:34" ht="15">
      <c r="A42" s="78">
        <v>4</v>
      </c>
      <c r="B42" s="88">
        <f>'Energy Data Entry'!B63</f>
        <v>44105</v>
      </c>
      <c r="C42" s="80" t="str">
        <f>IF(OR('Process Data Entry'!C44="",'Process Data Entry'!C44=0),"",'Process Data Entry'!C44)</f>
        <v/>
      </c>
      <c r="D42" s="81" t="str">
        <f>IF(Table4[[#This Row],[Avg Daily Flow]]="","",_xlfn.DAYS(EOMONTH(B42,0),EOMONTH(B42,-1))*C42)</f>
        <v/>
      </c>
      <c r="E42" s="81" t="str">
        <f>IF('Process Data Entry'!F44="","",'Process Data Entry'!F44)</f>
        <v/>
      </c>
      <c r="F42" s="82" t="str">
        <f>IF(Table4[[#This Row],[BOD removed]]="","",Table4[[#This Row],[BOD removed]]*_xlfn.DAYS(EOMONTH(Table4[[#This Row],[Column2]],0),EOMONTH(Table4[[#This Row],[Column2]],-1)))</f>
        <v/>
      </c>
      <c r="G42" s="83" t="str">
        <f>IF(SUM('Energy Data Entry'!C63,'Energy Data Entry'!H63,'Energy Data Entry'!M63,'Energy Data Entry'!R63,'Energy Data Entry'!W63)=0,"",SUM('Energy Data Entry'!C63,'Energy Data Entry'!H63,'Energy Data Entry'!M63,'Energy Data Entry'!R63,'Energy Data Entry'!W63))</f>
        <v/>
      </c>
      <c r="H42" s="83">
        <f>'Energy Data Entry'!AG63</f>
        <v>0</v>
      </c>
      <c r="I42" s="83" t="str">
        <f>IF(Table4[[#This Row],[Electric kWh usage]]="","",Table4[[#This Row],[Gas kWh usage]]+Table4[[#This Row],[Electric kWh usage]])</f>
        <v/>
      </c>
      <c r="J42" s="82" t="str">
        <f>IF(OR(Table4[[#This Row],[Electric kWh usage]]="",Table4[[#This Row],[Monthly Flow]]=""),"",(Table4[[#This Row],[Electric kWh usage]]+Table4[[#This Row],[Gas kWh usage]])/Table4[[#This Row],[Monthly Flow]])</f>
        <v/>
      </c>
      <c r="K42" s="84" t="str">
        <f>_xlfn.IFERROR(IF(Table4[[#This Row],[Electric kWh usage]]="","",(Table4[[#This Row],[Electric kWh usage]]+Table4[[#This Row],[Gas kWh usage]])/Table4[[#This Row],[Total BOD removed]]),"")</f>
        <v/>
      </c>
      <c r="L42" s="83" t="str">
        <f>IF('Energy Data Entry'!E63+'Energy Data Entry'!J63+'Energy Data Entry'!O63+'Energy Data Entry'!T63+'Energy Data Entry'!Y63=0,"",'Energy Data Entry'!E63+'Energy Data Entry'!J63+'Energy Data Entry'!O63+'Energy Data Entry'!T63+'Energy Data Entry'!Y63)</f>
        <v/>
      </c>
      <c r="M42" s="83" t="str">
        <f>IF('Energy Data Entry'!F63+'Energy Data Entry'!K63+'Energy Data Entry'!P63++'Energy Data Entry'!U63+'Energy Data Entry'!Z63=0,"",'Energy Data Entry'!F63+'Energy Data Entry'!K63+'Energy Data Entry'!P63++'Energy Data Entry'!U63+'Energy Data Entry'!Z63)</f>
        <v/>
      </c>
      <c r="N42" s="85" t="str">
        <f>IF('Energy Data Entry'!G63+'Energy Data Entry'!L63+'Energy Data Entry'!Q63+'Energy Data Entry'!V63+'Energy Data Entry'!AA63=0,"",'Energy Data Entry'!G63+'Energy Data Entry'!L63+'Energy Data Entry'!Q63+'Energy Data Entry'!V63+'Energy Data Entry'!AA63)</f>
        <v/>
      </c>
      <c r="O42" s="85" t="str">
        <f>IF('Energy Data Entry'!D63+'Energy Data Entry'!I63+'Energy Data Entry'!N63+'Energy Data Entry'!S63+'Energy Data Entry'!X63=0,"",'Energy Data Entry'!D63+'Energy Data Entry'!I63+'Energy Data Entry'!N63+'Energy Data Entry'!S63+'Energy Data Entry'!X63)</f>
        <v/>
      </c>
      <c r="P42" s="412">
        <f>'Energy Data Entry'!AF63</f>
        <v>0</v>
      </c>
      <c r="Q42" s="151" t="str">
        <f>_xlfn.IFERROR(Table4[[#This Row],[Total electric cost]]/Table4[[#This Row],[Electric kWh usage]],"")</f>
        <v/>
      </c>
      <c r="R42" s="151" t="str">
        <f>_xlfn.IFERROR(Table4[[#This Row],[Electric Demand Cost]]/Table4[[#This Row],[Total Electric Demand (Billed)]],_xlfn.IFERROR(Table4[[#This Row],[Electric Demand Cost]]/Table4[[#This Row],[Total Electric Demand (Actual)]],""))</f>
        <v/>
      </c>
      <c r="S42" s="85" t="str">
        <f>_xlfn.IFERROR(Table4[[#This Row],[Total Gas cost]]+Table4[[#This Row],[Total electric cost]],"")</f>
        <v/>
      </c>
      <c r="T42" s="111"/>
      <c r="U42" s="85" t="str">
        <f>_xlfn.IFERROR(Table4[[#This Row],[Total Energy Cost]]/Table4[[#This Row],[Monthly Flow]],"")</f>
        <v/>
      </c>
      <c r="V42" s="85" t="str">
        <f>_xlfn.IFERROR(Table4[[#This Row],[Total Energy Cost]]/Table4[[#This Row],[Total BOD removed]],"")</f>
        <v/>
      </c>
      <c r="W42" s="116"/>
      <c r="X42" s="86" t="str">
        <f>IF('Process Data Entry'!G44="","",'Process Data Entry'!G44)</f>
        <v/>
      </c>
      <c r="Y42" s="86" t="str">
        <f>IF('Process Data Entry'!H44="","",'Process Data Entry'!H44)</f>
        <v/>
      </c>
      <c r="Z42" s="86">
        <f>IF('Process Data Entry'!I44="",0,'Process Data Entry'!I44)</f>
        <v>0</v>
      </c>
      <c r="AA42" s="86" t="str">
        <f>IF('Process Data Entry'!J44="","",'Process Data Entry'!J44)</f>
        <v/>
      </c>
      <c r="AB42" s="86" t="str">
        <f>IF('Process Data Entry'!K44="","",'Process Data Entry'!K44)</f>
        <v/>
      </c>
      <c r="AC42" s="86" t="str">
        <f>IF('Process Data Entry'!L44="","",'Process Data Entry'!L44)</f>
        <v/>
      </c>
      <c r="AD42" s="87" t="str">
        <f t="shared" si="3"/>
        <v/>
      </c>
      <c r="AE42" s="87" t="str">
        <f t="shared" si="4"/>
        <v/>
      </c>
      <c r="AF42" s="150" t="str">
        <f>IF('Process Data Entry'!M44="","",'Process Data Entry'!M44)</f>
        <v/>
      </c>
      <c r="AG42" s="150" t="str">
        <f>IF('Process Data Entry'!N44="","",'Process Data Entry'!N44)</f>
        <v/>
      </c>
      <c r="AH42" s="81" t="str">
        <f t="shared" si="5"/>
        <v/>
      </c>
    </row>
    <row r="43" spans="1:34" ht="15">
      <c r="A43" s="78">
        <v>4</v>
      </c>
      <c r="B43" s="88">
        <f>'Energy Data Entry'!B64</f>
        <v>44136</v>
      </c>
      <c r="C43" s="80" t="str">
        <f>IF(OR('Process Data Entry'!C45="",'Process Data Entry'!C45=0),"",'Process Data Entry'!C45)</f>
        <v/>
      </c>
      <c r="D43" s="81" t="str">
        <f>IF(Table4[[#This Row],[Avg Daily Flow]]="","",_xlfn.DAYS(EOMONTH(B43,0),EOMONTH(B43,-1))*C43)</f>
        <v/>
      </c>
      <c r="E43" s="81" t="str">
        <f>IF('Process Data Entry'!F45="","",'Process Data Entry'!F45)</f>
        <v/>
      </c>
      <c r="F43" s="82" t="str">
        <f>IF(Table4[[#This Row],[BOD removed]]="","",Table4[[#This Row],[BOD removed]]*_xlfn.DAYS(EOMONTH(Table4[[#This Row],[Column2]],0),EOMONTH(Table4[[#This Row],[Column2]],-1)))</f>
        <v/>
      </c>
      <c r="G43" s="83" t="str">
        <f>IF(SUM('Energy Data Entry'!C64,'Energy Data Entry'!H64,'Energy Data Entry'!M64,'Energy Data Entry'!R64,'Energy Data Entry'!W64)=0,"",SUM('Energy Data Entry'!C64,'Energy Data Entry'!H64,'Energy Data Entry'!M64,'Energy Data Entry'!R64,'Energy Data Entry'!W64))</f>
        <v/>
      </c>
      <c r="H43" s="83">
        <f>'Energy Data Entry'!AG64</f>
        <v>0</v>
      </c>
      <c r="I43" s="83" t="str">
        <f>IF(Table4[[#This Row],[Electric kWh usage]]="","",Table4[[#This Row],[Gas kWh usage]]+Table4[[#This Row],[Electric kWh usage]])</f>
        <v/>
      </c>
      <c r="J43" s="82" t="str">
        <f>IF(OR(Table4[[#This Row],[Electric kWh usage]]="",Table4[[#This Row],[Monthly Flow]]=""),"",(Table4[[#This Row],[Electric kWh usage]]+Table4[[#This Row],[Gas kWh usage]])/Table4[[#This Row],[Monthly Flow]])</f>
        <v/>
      </c>
      <c r="K43" s="84" t="str">
        <f>_xlfn.IFERROR(IF(Table4[[#This Row],[Electric kWh usage]]="","",(Table4[[#This Row],[Electric kWh usage]]+Table4[[#This Row],[Gas kWh usage]])/Table4[[#This Row],[Total BOD removed]]),"")</f>
        <v/>
      </c>
      <c r="L43" s="83" t="str">
        <f>IF('Energy Data Entry'!E64+'Energy Data Entry'!J64+'Energy Data Entry'!O64+'Energy Data Entry'!T64+'Energy Data Entry'!Y64=0,"",'Energy Data Entry'!E64+'Energy Data Entry'!J64+'Energy Data Entry'!O64+'Energy Data Entry'!T64+'Energy Data Entry'!Y64)</f>
        <v/>
      </c>
      <c r="M43" s="83" t="str">
        <f>IF('Energy Data Entry'!F64+'Energy Data Entry'!K64+'Energy Data Entry'!P64++'Energy Data Entry'!U64+'Energy Data Entry'!Z64=0,"",'Energy Data Entry'!F64+'Energy Data Entry'!K64+'Energy Data Entry'!P64++'Energy Data Entry'!U64+'Energy Data Entry'!Z64)</f>
        <v/>
      </c>
      <c r="N43" s="85" t="str">
        <f>IF('Energy Data Entry'!G64+'Energy Data Entry'!L64+'Energy Data Entry'!Q64+'Energy Data Entry'!V64+'Energy Data Entry'!AA64=0,"",'Energy Data Entry'!G64+'Energy Data Entry'!L64+'Energy Data Entry'!Q64+'Energy Data Entry'!V64+'Energy Data Entry'!AA64)</f>
        <v/>
      </c>
      <c r="O43" s="85" t="str">
        <f>IF('Energy Data Entry'!D64+'Energy Data Entry'!I64+'Energy Data Entry'!N64+'Energy Data Entry'!S64+'Energy Data Entry'!X64=0,"",'Energy Data Entry'!D64+'Energy Data Entry'!I64+'Energy Data Entry'!N64+'Energy Data Entry'!S64+'Energy Data Entry'!X64)</f>
        <v/>
      </c>
      <c r="P43" s="412">
        <f>'Energy Data Entry'!AF64</f>
        <v>0</v>
      </c>
      <c r="Q43" s="151" t="str">
        <f>_xlfn.IFERROR(Table4[[#This Row],[Total electric cost]]/Table4[[#This Row],[Electric kWh usage]],"")</f>
        <v/>
      </c>
      <c r="R43" s="151" t="str">
        <f>_xlfn.IFERROR(Table4[[#This Row],[Electric Demand Cost]]/Table4[[#This Row],[Total Electric Demand (Billed)]],_xlfn.IFERROR(Table4[[#This Row],[Electric Demand Cost]]/Table4[[#This Row],[Total Electric Demand (Actual)]],""))</f>
        <v/>
      </c>
      <c r="S43" s="85" t="str">
        <f>_xlfn.IFERROR(Table4[[#This Row],[Total Gas cost]]+Table4[[#This Row],[Total electric cost]],"")</f>
        <v/>
      </c>
      <c r="T43" s="111"/>
      <c r="U43" s="85" t="str">
        <f>_xlfn.IFERROR(Table4[[#This Row],[Total Energy Cost]]/Table4[[#This Row],[Monthly Flow]],"")</f>
        <v/>
      </c>
      <c r="V43" s="85" t="str">
        <f>_xlfn.IFERROR(Table4[[#This Row],[Total Energy Cost]]/Table4[[#This Row],[Total BOD removed]],"")</f>
        <v/>
      </c>
      <c r="W43" s="116"/>
      <c r="X43" s="86" t="str">
        <f>IF('Process Data Entry'!G45="","",'Process Data Entry'!G45)</f>
        <v/>
      </c>
      <c r="Y43" s="86" t="str">
        <f>IF('Process Data Entry'!H45="","",'Process Data Entry'!H45)</f>
        <v/>
      </c>
      <c r="Z43" s="86">
        <f>IF('Process Data Entry'!I45="",0,'Process Data Entry'!I45)</f>
        <v>0</v>
      </c>
      <c r="AA43" s="86" t="str">
        <f>IF('Process Data Entry'!J45="","",'Process Data Entry'!J45)</f>
        <v/>
      </c>
      <c r="AB43" s="86" t="str">
        <f>IF('Process Data Entry'!K45="","",'Process Data Entry'!K45)</f>
        <v/>
      </c>
      <c r="AC43" s="86" t="str">
        <f>IF('Process Data Entry'!L45="","",'Process Data Entry'!L45)</f>
        <v/>
      </c>
      <c r="AD43" s="87" t="str">
        <f t="shared" si="3"/>
        <v/>
      </c>
      <c r="AE43" s="87" t="str">
        <f t="shared" si="4"/>
        <v/>
      </c>
      <c r="AF43" s="150" t="str">
        <f>IF('Process Data Entry'!M45="","",'Process Data Entry'!M45)</f>
        <v/>
      </c>
      <c r="AG43" s="150" t="str">
        <f>IF('Process Data Entry'!N45="","",'Process Data Entry'!N45)</f>
        <v/>
      </c>
      <c r="AH43" s="81" t="str">
        <f t="shared" si="5"/>
        <v/>
      </c>
    </row>
    <row r="44" spans="1:34" ht="15">
      <c r="A44" s="78">
        <v>4</v>
      </c>
      <c r="B44" s="88">
        <f>'Energy Data Entry'!B65</f>
        <v>44166</v>
      </c>
      <c r="C44" s="80" t="str">
        <f>IF(OR('Process Data Entry'!C46="",'Process Data Entry'!C46=0),"",'Process Data Entry'!C46)</f>
        <v/>
      </c>
      <c r="D44" s="81" t="str">
        <f>IF(Table4[[#This Row],[Avg Daily Flow]]="","",_xlfn.DAYS(EOMONTH(B44,0),EOMONTH(B44,-1))*C44)</f>
        <v/>
      </c>
      <c r="E44" s="81" t="str">
        <f>IF('Process Data Entry'!F46="","",'Process Data Entry'!F46)</f>
        <v/>
      </c>
      <c r="F44" s="82" t="str">
        <f>IF(Table4[[#This Row],[BOD removed]]="","",Table4[[#This Row],[BOD removed]]*_xlfn.DAYS(EOMONTH(Table4[[#This Row],[Column2]],0),EOMONTH(Table4[[#This Row],[Column2]],-1)))</f>
        <v/>
      </c>
      <c r="G44" s="83" t="str">
        <f>IF(SUM('Energy Data Entry'!C65,'Energy Data Entry'!H65,'Energy Data Entry'!M65,'Energy Data Entry'!R65,'Energy Data Entry'!W65)=0,"",SUM('Energy Data Entry'!C65,'Energy Data Entry'!H65,'Energy Data Entry'!M65,'Energy Data Entry'!R65,'Energy Data Entry'!W65))</f>
        <v/>
      </c>
      <c r="H44" s="83">
        <f>'Energy Data Entry'!AG65</f>
        <v>0</v>
      </c>
      <c r="I44" s="83" t="str">
        <f>IF(Table4[[#This Row],[Electric kWh usage]]="","",Table4[[#This Row],[Gas kWh usage]]+Table4[[#This Row],[Electric kWh usage]])</f>
        <v/>
      </c>
      <c r="J44" s="82" t="str">
        <f>IF(OR(Table4[[#This Row],[Electric kWh usage]]="",Table4[[#This Row],[Monthly Flow]]=""),"",(Table4[[#This Row],[Electric kWh usage]]+Table4[[#This Row],[Gas kWh usage]])/Table4[[#This Row],[Monthly Flow]])</f>
        <v/>
      </c>
      <c r="K44" s="84" t="str">
        <f>_xlfn.IFERROR(IF(Table4[[#This Row],[Electric kWh usage]]="","",(Table4[[#This Row],[Electric kWh usage]]+Table4[[#This Row],[Gas kWh usage]])/Table4[[#This Row],[Total BOD removed]]),"")</f>
        <v/>
      </c>
      <c r="L44" s="83" t="str">
        <f>IF('Energy Data Entry'!E65+'Energy Data Entry'!J65+'Energy Data Entry'!O65+'Energy Data Entry'!T65+'Energy Data Entry'!Y65=0,"",'Energy Data Entry'!E65+'Energy Data Entry'!J65+'Energy Data Entry'!O65+'Energy Data Entry'!T65+'Energy Data Entry'!Y65)</f>
        <v/>
      </c>
      <c r="M44" s="83" t="str">
        <f>IF('Energy Data Entry'!F65+'Energy Data Entry'!K65+'Energy Data Entry'!P65++'Energy Data Entry'!U65+'Energy Data Entry'!Z65=0,"",'Energy Data Entry'!F65+'Energy Data Entry'!K65+'Energy Data Entry'!P65++'Energy Data Entry'!U65+'Energy Data Entry'!Z65)</f>
        <v/>
      </c>
      <c r="N44" s="85" t="str">
        <f>IF('Energy Data Entry'!G65+'Energy Data Entry'!L65+'Energy Data Entry'!Q65+'Energy Data Entry'!V65+'Energy Data Entry'!AA65=0,"",'Energy Data Entry'!G65+'Energy Data Entry'!L65+'Energy Data Entry'!Q65+'Energy Data Entry'!V65+'Energy Data Entry'!AA65)</f>
        <v/>
      </c>
      <c r="O44" s="85" t="str">
        <f>IF('Energy Data Entry'!D65+'Energy Data Entry'!I65+'Energy Data Entry'!N65+'Energy Data Entry'!S65+'Energy Data Entry'!X65=0,"",'Energy Data Entry'!D65+'Energy Data Entry'!I65+'Energy Data Entry'!N65+'Energy Data Entry'!S65+'Energy Data Entry'!X65)</f>
        <v/>
      </c>
      <c r="P44" s="412">
        <f>'Energy Data Entry'!AF65</f>
        <v>0</v>
      </c>
      <c r="Q44" s="151" t="str">
        <f>_xlfn.IFERROR(Table4[[#This Row],[Total electric cost]]/Table4[[#This Row],[Electric kWh usage]],"")</f>
        <v/>
      </c>
      <c r="R44" s="151" t="str">
        <f>_xlfn.IFERROR(Table4[[#This Row],[Electric Demand Cost]]/Table4[[#This Row],[Total Electric Demand (Billed)]],_xlfn.IFERROR(Table4[[#This Row],[Electric Demand Cost]]/Table4[[#This Row],[Total Electric Demand (Actual)]],""))</f>
        <v/>
      </c>
      <c r="S44" s="85" t="str">
        <f>_xlfn.IFERROR(Table4[[#This Row],[Total Gas cost]]+Table4[[#This Row],[Total electric cost]],"")</f>
        <v/>
      </c>
      <c r="T44" s="111"/>
      <c r="U44" s="85" t="str">
        <f>_xlfn.IFERROR(Table4[[#This Row],[Total Energy Cost]]/Table4[[#This Row],[Monthly Flow]],"")</f>
        <v/>
      </c>
      <c r="V44" s="85" t="str">
        <f>_xlfn.IFERROR(Table4[[#This Row],[Total Energy Cost]]/Table4[[#This Row],[Total BOD removed]],"")</f>
        <v/>
      </c>
      <c r="W44" s="116"/>
      <c r="X44" s="86" t="str">
        <f>IF('Process Data Entry'!G46="","",'Process Data Entry'!G46)</f>
        <v/>
      </c>
      <c r="Y44" s="86" t="str">
        <f>IF('Process Data Entry'!H46="","",'Process Data Entry'!H46)</f>
        <v/>
      </c>
      <c r="Z44" s="86">
        <f>IF('Process Data Entry'!I46="",0,'Process Data Entry'!I46)</f>
        <v>0</v>
      </c>
      <c r="AA44" s="86" t="str">
        <f>IF('Process Data Entry'!J46="","",'Process Data Entry'!J46)</f>
        <v/>
      </c>
      <c r="AB44" s="86" t="str">
        <f>IF('Process Data Entry'!K46="","",'Process Data Entry'!K46)</f>
        <v/>
      </c>
      <c r="AC44" s="86" t="str">
        <f>IF('Process Data Entry'!L46="","",'Process Data Entry'!L46)</f>
        <v/>
      </c>
      <c r="AD44" s="87" t="str">
        <f t="shared" si="3"/>
        <v/>
      </c>
      <c r="AE44" s="87" t="str">
        <f t="shared" si="4"/>
        <v/>
      </c>
      <c r="AF44" s="150" t="str">
        <f>IF('Process Data Entry'!M46="","",'Process Data Entry'!M46)</f>
        <v/>
      </c>
      <c r="AG44" s="150" t="str">
        <f>IF('Process Data Entry'!N46="","",'Process Data Entry'!N46)</f>
        <v/>
      </c>
      <c r="AH44" s="81" t="str">
        <f t="shared" si="5"/>
        <v/>
      </c>
    </row>
    <row r="45" spans="1:34" ht="15">
      <c r="A45" s="78">
        <v>4</v>
      </c>
      <c r="B45" s="88">
        <f>'Energy Data Entry'!B66</f>
        <v>44197</v>
      </c>
      <c r="C45" s="80" t="str">
        <f>IF(OR('Process Data Entry'!C47="",'Process Data Entry'!C47=0),"",'Process Data Entry'!C47)</f>
        <v/>
      </c>
      <c r="D45" s="81" t="str">
        <f>IF(Table4[[#This Row],[Avg Daily Flow]]="","",_xlfn.DAYS(EOMONTH(B45,0),EOMONTH(B45,-1))*C45)</f>
        <v/>
      </c>
      <c r="E45" s="81" t="str">
        <f>IF('Process Data Entry'!F47="","",'Process Data Entry'!F47)</f>
        <v/>
      </c>
      <c r="F45" s="82" t="str">
        <f>IF(Table4[[#This Row],[BOD removed]]="","",Table4[[#This Row],[BOD removed]]*_xlfn.DAYS(EOMONTH(Table4[[#This Row],[Column2]],0),EOMONTH(Table4[[#This Row],[Column2]],-1)))</f>
        <v/>
      </c>
      <c r="G45" s="83" t="str">
        <f>IF(SUM('Energy Data Entry'!C66,'Energy Data Entry'!H66,'Energy Data Entry'!M66,'Energy Data Entry'!R66,'Energy Data Entry'!W66)=0,"",SUM('Energy Data Entry'!C66,'Energy Data Entry'!H66,'Energy Data Entry'!M66,'Energy Data Entry'!R66,'Energy Data Entry'!W66))</f>
        <v/>
      </c>
      <c r="H45" s="83">
        <f>'Energy Data Entry'!AG66</f>
        <v>0</v>
      </c>
      <c r="I45" s="83" t="str">
        <f>IF(Table4[[#This Row],[Electric kWh usage]]="","",Table4[[#This Row],[Gas kWh usage]]+Table4[[#This Row],[Electric kWh usage]])</f>
        <v/>
      </c>
      <c r="J45" s="82" t="str">
        <f>IF(OR(Table4[[#This Row],[Electric kWh usage]]="",Table4[[#This Row],[Monthly Flow]]=""),"",(Table4[[#This Row],[Electric kWh usage]]+Table4[[#This Row],[Gas kWh usage]])/Table4[[#This Row],[Monthly Flow]])</f>
        <v/>
      </c>
      <c r="K45" s="84" t="str">
        <f>_xlfn.IFERROR(IF(Table4[[#This Row],[Electric kWh usage]]="","",(Table4[[#This Row],[Electric kWh usage]]+Table4[[#This Row],[Gas kWh usage]])/Table4[[#This Row],[Total BOD removed]]),"")</f>
        <v/>
      </c>
      <c r="L45" s="83" t="str">
        <f>IF('Energy Data Entry'!E66+'Energy Data Entry'!J66+'Energy Data Entry'!O66+'Energy Data Entry'!T66+'Energy Data Entry'!Y66=0,"",'Energy Data Entry'!E66+'Energy Data Entry'!J66+'Energy Data Entry'!O66+'Energy Data Entry'!T66+'Energy Data Entry'!Y66)</f>
        <v/>
      </c>
      <c r="M45" s="83" t="str">
        <f>IF('Energy Data Entry'!F66+'Energy Data Entry'!K66+'Energy Data Entry'!P66++'Energy Data Entry'!U66+'Energy Data Entry'!Z66=0,"",'Energy Data Entry'!F66+'Energy Data Entry'!K66+'Energy Data Entry'!P66++'Energy Data Entry'!U66+'Energy Data Entry'!Z66)</f>
        <v/>
      </c>
      <c r="N45" s="85" t="str">
        <f>IF('Energy Data Entry'!G66+'Energy Data Entry'!L66+'Energy Data Entry'!Q66+'Energy Data Entry'!V66+'Energy Data Entry'!AA66=0,"",'Energy Data Entry'!G66+'Energy Data Entry'!L66+'Energy Data Entry'!Q66+'Energy Data Entry'!V66+'Energy Data Entry'!AA66)</f>
        <v/>
      </c>
      <c r="O45" s="85" t="str">
        <f>IF('Energy Data Entry'!D66+'Energy Data Entry'!I66+'Energy Data Entry'!N66+'Energy Data Entry'!S66+'Energy Data Entry'!X66=0,"",'Energy Data Entry'!D66+'Energy Data Entry'!I66+'Energy Data Entry'!N66+'Energy Data Entry'!S66+'Energy Data Entry'!X66)</f>
        <v/>
      </c>
      <c r="P45" s="412">
        <f>'Energy Data Entry'!AF66</f>
        <v>0</v>
      </c>
      <c r="Q45" s="151" t="str">
        <f>_xlfn.IFERROR(Table4[[#This Row],[Total electric cost]]/Table4[[#This Row],[Electric kWh usage]],"")</f>
        <v/>
      </c>
      <c r="R45" s="151" t="str">
        <f>_xlfn.IFERROR(Table4[[#This Row],[Electric Demand Cost]]/Table4[[#This Row],[Total Electric Demand (Billed)]],_xlfn.IFERROR(Table4[[#This Row],[Electric Demand Cost]]/Table4[[#This Row],[Total Electric Demand (Actual)]],""))</f>
        <v/>
      </c>
      <c r="S45" s="85" t="str">
        <f>_xlfn.IFERROR(Table4[[#This Row],[Total Gas cost]]+Table4[[#This Row],[Total electric cost]],"")</f>
        <v/>
      </c>
      <c r="T45" s="111"/>
      <c r="U45" s="85" t="str">
        <f>_xlfn.IFERROR(Table4[[#This Row],[Total Energy Cost]]/Table4[[#This Row],[Monthly Flow]],"")</f>
        <v/>
      </c>
      <c r="V45" s="85" t="str">
        <f>_xlfn.IFERROR(Table4[[#This Row],[Total Energy Cost]]/Table4[[#This Row],[Total BOD removed]],"")</f>
        <v/>
      </c>
      <c r="W45" s="116"/>
      <c r="X45" s="86" t="str">
        <f>IF('Process Data Entry'!G47="","",'Process Data Entry'!G47)</f>
        <v/>
      </c>
      <c r="Y45" s="86" t="str">
        <f>IF('Process Data Entry'!H47="","",'Process Data Entry'!H47)</f>
        <v/>
      </c>
      <c r="Z45" s="86">
        <f>IF('Process Data Entry'!I47="",0,'Process Data Entry'!I47)</f>
        <v>0</v>
      </c>
      <c r="AA45" s="86" t="str">
        <f>IF('Process Data Entry'!J47="","",'Process Data Entry'!J47)</f>
        <v/>
      </c>
      <c r="AB45" s="86" t="str">
        <f>IF('Process Data Entry'!K47="","",'Process Data Entry'!K47)</f>
        <v/>
      </c>
      <c r="AC45" s="86" t="str">
        <f>IF('Process Data Entry'!L47="","",'Process Data Entry'!L47)</f>
        <v/>
      </c>
      <c r="AD45" s="87" t="str">
        <f t="shared" si="3"/>
        <v/>
      </c>
      <c r="AE45" s="87" t="str">
        <f t="shared" si="4"/>
        <v/>
      </c>
      <c r="AF45" s="150" t="str">
        <f>IF('Process Data Entry'!M47="","",'Process Data Entry'!M47)</f>
        <v/>
      </c>
      <c r="AG45" s="150" t="str">
        <f>IF('Process Data Entry'!N47="","",'Process Data Entry'!N47)</f>
        <v/>
      </c>
      <c r="AH45" s="81" t="str">
        <f t="shared" si="5"/>
        <v/>
      </c>
    </row>
    <row r="46" spans="1:34" ht="15">
      <c r="A46" s="78">
        <v>4</v>
      </c>
      <c r="B46" s="88">
        <f>'Energy Data Entry'!B67</f>
        <v>44228</v>
      </c>
      <c r="C46" s="80" t="str">
        <f>IF(OR('Process Data Entry'!C48="",'Process Data Entry'!C48=0),"",'Process Data Entry'!C48)</f>
        <v/>
      </c>
      <c r="D46" s="81" t="str">
        <f>IF(Table4[[#This Row],[Avg Daily Flow]]="","",_xlfn.DAYS(EOMONTH(B46,0),EOMONTH(B46,-1))*C46)</f>
        <v/>
      </c>
      <c r="E46" s="81" t="str">
        <f>IF('Process Data Entry'!F48="","",'Process Data Entry'!F48)</f>
        <v/>
      </c>
      <c r="F46" s="82" t="str">
        <f>IF(Table4[[#This Row],[BOD removed]]="","",Table4[[#This Row],[BOD removed]]*_xlfn.DAYS(EOMONTH(Table4[[#This Row],[Column2]],0),EOMONTH(Table4[[#This Row],[Column2]],-1)))</f>
        <v/>
      </c>
      <c r="G46" s="83" t="str">
        <f>IF(SUM('Energy Data Entry'!C67,'Energy Data Entry'!H67,'Energy Data Entry'!M67,'Energy Data Entry'!R67,'Energy Data Entry'!W67)=0,"",SUM('Energy Data Entry'!C67,'Energy Data Entry'!H67,'Energy Data Entry'!M67,'Energy Data Entry'!R67,'Energy Data Entry'!W67))</f>
        <v/>
      </c>
      <c r="H46" s="83">
        <f>'Energy Data Entry'!AG67</f>
        <v>0</v>
      </c>
      <c r="I46" s="83" t="str">
        <f>IF(Table4[[#This Row],[Electric kWh usage]]="","",Table4[[#This Row],[Gas kWh usage]]+Table4[[#This Row],[Electric kWh usage]])</f>
        <v/>
      </c>
      <c r="J46" s="82" t="str">
        <f>IF(OR(Table4[[#This Row],[Electric kWh usage]]="",Table4[[#This Row],[Monthly Flow]]=""),"",(Table4[[#This Row],[Electric kWh usage]]+Table4[[#This Row],[Gas kWh usage]])/Table4[[#This Row],[Monthly Flow]])</f>
        <v/>
      </c>
      <c r="K46" s="84" t="str">
        <f>_xlfn.IFERROR(IF(Table4[[#This Row],[Electric kWh usage]]="","",(Table4[[#This Row],[Electric kWh usage]]+Table4[[#This Row],[Gas kWh usage]])/Table4[[#This Row],[Total BOD removed]]),"")</f>
        <v/>
      </c>
      <c r="L46" s="83" t="str">
        <f>IF('Energy Data Entry'!E67+'Energy Data Entry'!J67+'Energy Data Entry'!O67+'Energy Data Entry'!T67+'Energy Data Entry'!Y67=0,"",'Energy Data Entry'!E67+'Energy Data Entry'!J67+'Energy Data Entry'!O67+'Energy Data Entry'!T67+'Energy Data Entry'!Y67)</f>
        <v/>
      </c>
      <c r="M46" s="83" t="str">
        <f>IF('Energy Data Entry'!F67+'Energy Data Entry'!K67+'Energy Data Entry'!P67++'Energy Data Entry'!U67+'Energy Data Entry'!Z67=0,"",'Energy Data Entry'!F67+'Energy Data Entry'!K67+'Energy Data Entry'!P67++'Energy Data Entry'!U67+'Energy Data Entry'!Z67)</f>
        <v/>
      </c>
      <c r="N46" s="85" t="str">
        <f>IF('Energy Data Entry'!G67+'Energy Data Entry'!L67+'Energy Data Entry'!Q67+'Energy Data Entry'!V67+'Energy Data Entry'!AA67=0,"",'Energy Data Entry'!G67+'Energy Data Entry'!L67+'Energy Data Entry'!Q67+'Energy Data Entry'!V67+'Energy Data Entry'!AA67)</f>
        <v/>
      </c>
      <c r="O46" s="85" t="str">
        <f>IF('Energy Data Entry'!D67+'Energy Data Entry'!I67+'Energy Data Entry'!N67+'Energy Data Entry'!S67+'Energy Data Entry'!X67=0,"",'Energy Data Entry'!D67+'Energy Data Entry'!I67+'Energy Data Entry'!N67+'Energy Data Entry'!S67+'Energy Data Entry'!X67)</f>
        <v/>
      </c>
      <c r="P46" s="412">
        <f>'Energy Data Entry'!AF67</f>
        <v>0</v>
      </c>
      <c r="Q46" s="151" t="str">
        <f>_xlfn.IFERROR(Table4[[#This Row],[Total electric cost]]/Table4[[#This Row],[Electric kWh usage]],"")</f>
        <v/>
      </c>
      <c r="R46" s="151" t="str">
        <f>_xlfn.IFERROR(Table4[[#This Row],[Electric Demand Cost]]/Table4[[#This Row],[Total Electric Demand (Billed)]],_xlfn.IFERROR(Table4[[#This Row],[Electric Demand Cost]]/Table4[[#This Row],[Total Electric Demand (Actual)]],""))</f>
        <v/>
      </c>
      <c r="S46" s="85" t="str">
        <f>_xlfn.IFERROR(Table4[[#This Row],[Total Gas cost]]+Table4[[#This Row],[Total electric cost]],"")</f>
        <v/>
      </c>
      <c r="T46" s="111"/>
      <c r="U46" s="85" t="str">
        <f>_xlfn.IFERROR(Table4[[#This Row],[Total Energy Cost]]/Table4[[#This Row],[Monthly Flow]],"")</f>
        <v/>
      </c>
      <c r="V46" s="85" t="str">
        <f>_xlfn.IFERROR(Table4[[#This Row],[Total Energy Cost]]/Table4[[#This Row],[Total BOD removed]],"")</f>
        <v/>
      </c>
      <c r="W46" s="116"/>
      <c r="X46" s="86" t="str">
        <f>IF('Process Data Entry'!G48="","",'Process Data Entry'!G48)</f>
        <v/>
      </c>
      <c r="Y46" s="86" t="str">
        <f>IF('Process Data Entry'!H48="","",'Process Data Entry'!H48)</f>
        <v/>
      </c>
      <c r="Z46" s="86">
        <f>IF('Process Data Entry'!I48="",0,'Process Data Entry'!I48)</f>
        <v>0</v>
      </c>
      <c r="AA46" s="86" t="str">
        <f>IF('Process Data Entry'!J48="","",'Process Data Entry'!J48)</f>
        <v/>
      </c>
      <c r="AB46" s="86" t="str">
        <f>IF('Process Data Entry'!K48="","",'Process Data Entry'!K48)</f>
        <v/>
      </c>
      <c r="AC46" s="86" t="str">
        <f>IF('Process Data Entry'!L48="","",'Process Data Entry'!L48)</f>
        <v/>
      </c>
      <c r="AD46" s="87" t="str">
        <f t="shared" si="3"/>
        <v/>
      </c>
      <c r="AE46" s="87" t="str">
        <f t="shared" si="4"/>
        <v/>
      </c>
      <c r="AF46" s="150" t="str">
        <f>IF('Process Data Entry'!M48="","",'Process Data Entry'!M48)</f>
        <v/>
      </c>
      <c r="AG46" s="150" t="str">
        <f>IF('Process Data Entry'!N48="","",'Process Data Entry'!N48)</f>
        <v/>
      </c>
      <c r="AH46" s="81" t="str">
        <f t="shared" si="5"/>
        <v/>
      </c>
    </row>
    <row r="47" spans="1:34" ht="15">
      <c r="A47" s="78">
        <v>4</v>
      </c>
      <c r="B47" s="88">
        <f>'Energy Data Entry'!B68</f>
        <v>44256</v>
      </c>
      <c r="C47" s="80" t="str">
        <f>IF(OR('Process Data Entry'!C49="",'Process Data Entry'!C49=0),"",'Process Data Entry'!C49)</f>
        <v/>
      </c>
      <c r="D47" s="81" t="str">
        <f>IF(Table4[[#This Row],[Avg Daily Flow]]="","",_xlfn.DAYS(EOMONTH(B47,0),EOMONTH(B47,-1))*C47)</f>
        <v/>
      </c>
      <c r="E47" s="81" t="str">
        <f>IF('Process Data Entry'!F49="","",'Process Data Entry'!F49)</f>
        <v/>
      </c>
      <c r="F47" s="82" t="str">
        <f>IF(Table4[[#This Row],[BOD removed]]="","",Table4[[#This Row],[BOD removed]]*_xlfn.DAYS(EOMONTH(Table4[[#This Row],[Column2]],0),EOMONTH(Table4[[#This Row],[Column2]],-1)))</f>
        <v/>
      </c>
      <c r="G47" s="83" t="str">
        <f>IF(SUM('Energy Data Entry'!C68,'Energy Data Entry'!H68,'Energy Data Entry'!M68,'Energy Data Entry'!R68,'Energy Data Entry'!W68)=0,"",SUM('Energy Data Entry'!C68,'Energy Data Entry'!H68,'Energy Data Entry'!M68,'Energy Data Entry'!R68,'Energy Data Entry'!W68))</f>
        <v/>
      </c>
      <c r="H47" s="83">
        <f>'Energy Data Entry'!AG68</f>
        <v>0</v>
      </c>
      <c r="I47" s="83" t="str">
        <f>IF(Table4[[#This Row],[Electric kWh usage]]="","",Table4[[#This Row],[Gas kWh usage]]+Table4[[#This Row],[Electric kWh usage]])</f>
        <v/>
      </c>
      <c r="J47" s="82" t="str">
        <f>IF(OR(Table4[[#This Row],[Electric kWh usage]]="",Table4[[#This Row],[Monthly Flow]]=""),"",(Table4[[#This Row],[Electric kWh usage]]+Table4[[#This Row],[Gas kWh usage]])/Table4[[#This Row],[Monthly Flow]])</f>
        <v/>
      </c>
      <c r="K47" s="84" t="str">
        <f>_xlfn.IFERROR(IF(Table4[[#This Row],[Electric kWh usage]]="","",(Table4[[#This Row],[Electric kWh usage]]+Table4[[#This Row],[Gas kWh usage]])/Table4[[#This Row],[Total BOD removed]]),"")</f>
        <v/>
      </c>
      <c r="L47" s="83" t="str">
        <f>IF('Energy Data Entry'!E68+'Energy Data Entry'!J68+'Energy Data Entry'!O68+'Energy Data Entry'!T68+'Energy Data Entry'!Y68=0,"",'Energy Data Entry'!E68+'Energy Data Entry'!J68+'Energy Data Entry'!O68+'Energy Data Entry'!T68+'Energy Data Entry'!Y68)</f>
        <v/>
      </c>
      <c r="M47" s="83" t="str">
        <f>IF('Energy Data Entry'!F68+'Energy Data Entry'!K68+'Energy Data Entry'!P68++'Energy Data Entry'!U68+'Energy Data Entry'!Z68=0,"",'Energy Data Entry'!F68+'Energy Data Entry'!K68+'Energy Data Entry'!P68++'Energy Data Entry'!U68+'Energy Data Entry'!Z68)</f>
        <v/>
      </c>
      <c r="N47" s="85" t="str">
        <f>IF('Energy Data Entry'!G68+'Energy Data Entry'!L68+'Energy Data Entry'!Q68+'Energy Data Entry'!V68+'Energy Data Entry'!AA68=0,"",'Energy Data Entry'!G68+'Energy Data Entry'!L68+'Energy Data Entry'!Q68+'Energy Data Entry'!V68+'Energy Data Entry'!AA68)</f>
        <v/>
      </c>
      <c r="O47" s="85" t="str">
        <f>IF('Energy Data Entry'!D68+'Energy Data Entry'!I68+'Energy Data Entry'!N68+'Energy Data Entry'!S68+'Energy Data Entry'!X68=0,"",'Energy Data Entry'!D68+'Energy Data Entry'!I68+'Energy Data Entry'!N68+'Energy Data Entry'!S68+'Energy Data Entry'!X68)</f>
        <v/>
      </c>
      <c r="P47" s="412">
        <f>'Energy Data Entry'!AF68</f>
        <v>0</v>
      </c>
      <c r="Q47" s="151" t="str">
        <f>_xlfn.IFERROR(Table4[[#This Row],[Total electric cost]]/Table4[[#This Row],[Electric kWh usage]],"")</f>
        <v/>
      </c>
      <c r="R47" s="151" t="str">
        <f>_xlfn.IFERROR(Table4[[#This Row],[Electric Demand Cost]]/Table4[[#This Row],[Total Electric Demand (Billed)]],_xlfn.IFERROR(Table4[[#This Row],[Electric Demand Cost]]/Table4[[#This Row],[Total Electric Demand (Actual)]],""))</f>
        <v/>
      </c>
      <c r="S47" s="85" t="str">
        <f>_xlfn.IFERROR(Table4[[#This Row],[Total Gas cost]]+Table4[[#This Row],[Total electric cost]],"")</f>
        <v/>
      </c>
      <c r="T47" s="111"/>
      <c r="U47" s="85" t="str">
        <f>_xlfn.IFERROR(Table4[[#This Row],[Total Energy Cost]]/Table4[[#This Row],[Monthly Flow]],"")</f>
        <v/>
      </c>
      <c r="V47" s="85" t="str">
        <f>_xlfn.IFERROR(Table4[[#This Row],[Total Energy Cost]]/Table4[[#This Row],[Total BOD removed]],"")</f>
        <v/>
      </c>
      <c r="W47" s="116"/>
      <c r="X47" s="86" t="str">
        <f>IF('Process Data Entry'!G49="","",'Process Data Entry'!G49)</f>
        <v/>
      </c>
      <c r="Y47" s="86" t="str">
        <f>IF('Process Data Entry'!H49="","",'Process Data Entry'!H49)</f>
        <v/>
      </c>
      <c r="Z47" s="86">
        <f>IF('Process Data Entry'!I49="",0,'Process Data Entry'!I49)</f>
        <v>0</v>
      </c>
      <c r="AA47" s="86" t="str">
        <f>IF('Process Data Entry'!J49="","",'Process Data Entry'!J49)</f>
        <v/>
      </c>
      <c r="AB47" s="86" t="str">
        <f>IF('Process Data Entry'!K49="","",'Process Data Entry'!K49)</f>
        <v/>
      </c>
      <c r="AC47" s="86" t="str">
        <f>IF('Process Data Entry'!L49="","",'Process Data Entry'!L49)</f>
        <v/>
      </c>
      <c r="AD47" s="87" t="str">
        <f t="shared" si="3"/>
        <v/>
      </c>
      <c r="AE47" s="87" t="str">
        <f t="shared" si="4"/>
        <v/>
      </c>
      <c r="AF47" s="150" t="str">
        <f>IF('Process Data Entry'!M49="","",'Process Data Entry'!M49)</f>
        <v/>
      </c>
      <c r="AG47" s="150" t="str">
        <f>IF('Process Data Entry'!N49="","",'Process Data Entry'!N49)</f>
        <v/>
      </c>
      <c r="AH47" s="81" t="str">
        <f t="shared" si="5"/>
        <v/>
      </c>
    </row>
    <row r="48" spans="1:34" ht="15">
      <c r="A48" s="78">
        <v>4</v>
      </c>
      <c r="B48" s="88">
        <f>'Energy Data Entry'!B69</f>
        <v>44287</v>
      </c>
      <c r="C48" s="80" t="str">
        <f>IF(OR('Process Data Entry'!C50="",'Process Data Entry'!C50=0),"",'Process Data Entry'!C50)</f>
        <v/>
      </c>
      <c r="D48" s="81" t="str">
        <f>IF(Table4[[#This Row],[Avg Daily Flow]]="","",_xlfn.DAYS(EOMONTH(B48,0),EOMONTH(B48,-1))*C48)</f>
        <v/>
      </c>
      <c r="E48" s="81" t="str">
        <f>IF('Process Data Entry'!F50="","",'Process Data Entry'!F50)</f>
        <v/>
      </c>
      <c r="F48" s="82" t="str">
        <f>IF(Table4[[#This Row],[BOD removed]]="","",Table4[[#This Row],[BOD removed]]*_xlfn.DAYS(EOMONTH(Table4[[#This Row],[Column2]],0),EOMONTH(Table4[[#This Row],[Column2]],-1)))</f>
        <v/>
      </c>
      <c r="G48" s="83" t="str">
        <f>IF(SUM('Energy Data Entry'!C69,'Energy Data Entry'!H69,'Energy Data Entry'!M69,'Energy Data Entry'!R69,'Energy Data Entry'!W69)=0,"",SUM('Energy Data Entry'!C69,'Energy Data Entry'!H69,'Energy Data Entry'!M69,'Energy Data Entry'!R69,'Energy Data Entry'!W69))</f>
        <v/>
      </c>
      <c r="H48" s="83">
        <f>'Energy Data Entry'!AG69</f>
        <v>0</v>
      </c>
      <c r="I48" s="83" t="str">
        <f>IF(Table4[[#This Row],[Electric kWh usage]]="","",Table4[[#This Row],[Gas kWh usage]]+Table4[[#This Row],[Electric kWh usage]])</f>
        <v/>
      </c>
      <c r="J48" s="82" t="str">
        <f>IF(OR(Table4[[#This Row],[Electric kWh usage]]="",Table4[[#This Row],[Monthly Flow]]=""),"",(Table4[[#This Row],[Electric kWh usage]]+Table4[[#This Row],[Gas kWh usage]])/Table4[[#This Row],[Monthly Flow]])</f>
        <v/>
      </c>
      <c r="K48" s="84" t="str">
        <f>_xlfn.IFERROR(IF(Table4[[#This Row],[Electric kWh usage]]="","",(Table4[[#This Row],[Electric kWh usage]]+Table4[[#This Row],[Gas kWh usage]])/Table4[[#This Row],[Total BOD removed]]),"")</f>
        <v/>
      </c>
      <c r="L48" s="83" t="str">
        <f>IF('Energy Data Entry'!E69+'Energy Data Entry'!J69+'Energy Data Entry'!O69+'Energy Data Entry'!T69+'Energy Data Entry'!Y69=0,"",'Energy Data Entry'!E69+'Energy Data Entry'!J69+'Energy Data Entry'!O69+'Energy Data Entry'!T69+'Energy Data Entry'!Y69)</f>
        <v/>
      </c>
      <c r="M48" s="83" t="str">
        <f>IF('Energy Data Entry'!F69+'Energy Data Entry'!K69+'Energy Data Entry'!P69++'Energy Data Entry'!U69+'Energy Data Entry'!Z69=0,"",'Energy Data Entry'!F69+'Energy Data Entry'!K69+'Energy Data Entry'!P69++'Energy Data Entry'!U69+'Energy Data Entry'!Z69)</f>
        <v/>
      </c>
      <c r="N48" s="85" t="str">
        <f>IF('Energy Data Entry'!G69+'Energy Data Entry'!L69+'Energy Data Entry'!Q69+'Energy Data Entry'!V69+'Energy Data Entry'!AA69=0,"",'Energy Data Entry'!G69+'Energy Data Entry'!L69+'Energy Data Entry'!Q69+'Energy Data Entry'!V69+'Energy Data Entry'!AA69)</f>
        <v/>
      </c>
      <c r="O48" s="85" t="str">
        <f>IF('Energy Data Entry'!D69+'Energy Data Entry'!I69+'Energy Data Entry'!N69+'Energy Data Entry'!S69+'Energy Data Entry'!X69=0,"",'Energy Data Entry'!D69+'Energy Data Entry'!I69+'Energy Data Entry'!N69+'Energy Data Entry'!S69+'Energy Data Entry'!X69)</f>
        <v/>
      </c>
      <c r="P48" s="412">
        <f>'Energy Data Entry'!AF69</f>
        <v>0</v>
      </c>
      <c r="Q48" s="151" t="str">
        <f>_xlfn.IFERROR(Table4[[#This Row],[Total electric cost]]/Table4[[#This Row],[Electric kWh usage]],"")</f>
        <v/>
      </c>
      <c r="R48" s="151" t="str">
        <f>_xlfn.IFERROR(Table4[[#This Row],[Electric Demand Cost]]/Table4[[#This Row],[Total Electric Demand (Billed)]],_xlfn.IFERROR(Table4[[#This Row],[Electric Demand Cost]]/Table4[[#This Row],[Total Electric Demand (Actual)]],""))</f>
        <v/>
      </c>
      <c r="S48" s="85" t="str">
        <f>_xlfn.IFERROR(Table4[[#This Row],[Total Gas cost]]+Table4[[#This Row],[Total electric cost]],"")</f>
        <v/>
      </c>
      <c r="T48" s="111"/>
      <c r="U48" s="85" t="str">
        <f>_xlfn.IFERROR(Table4[[#This Row],[Total Energy Cost]]/Table4[[#This Row],[Monthly Flow]],"")</f>
        <v/>
      </c>
      <c r="V48" s="85" t="str">
        <f>_xlfn.IFERROR(Table4[[#This Row],[Total Energy Cost]]/Table4[[#This Row],[Total BOD removed]],"")</f>
        <v/>
      </c>
      <c r="W48" s="116"/>
      <c r="X48" s="86" t="str">
        <f>IF('Process Data Entry'!G50="","",'Process Data Entry'!G50)</f>
        <v/>
      </c>
      <c r="Y48" s="86" t="str">
        <f>IF('Process Data Entry'!H50="","",'Process Data Entry'!H50)</f>
        <v/>
      </c>
      <c r="Z48" s="86">
        <f>IF('Process Data Entry'!I50="",0,'Process Data Entry'!I50)</f>
        <v>0</v>
      </c>
      <c r="AA48" s="86" t="str">
        <f>IF('Process Data Entry'!J50="","",'Process Data Entry'!J50)</f>
        <v/>
      </c>
      <c r="AB48" s="86" t="str">
        <f>IF('Process Data Entry'!K50="","",'Process Data Entry'!K50)</f>
        <v/>
      </c>
      <c r="AC48" s="86" t="str">
        <f>IF('Process Data Entry'!L50="","",'Process Data Entry'!L50)</f>
        <v/>
      </c>
      <c r="AD48" s="87" t="str">
        <f t="shared" si="3"/>
        <v/>
      </c>
      <c r="AE48" s="87" t="str">
        <f t="shared" si="4"/>
        <v/>
      </c>
      <c r="AF48" s="150" t="str">
        <f>IF('Process Data Entry'!M50="","",'Process Data Entry'!M50)</f>
        <v/>
      </c>
      <c r="AG48" s="150" t="str">
        <f>IF('Process Data Entry'!N50="","",'Process Data Entry'!N50)</f>
        <v/>
      </c>
      <c r="AH48" s="81" t="str">
        <f t="shared" si="5"/>
        <v/>
      </c>
    </row>
    <row r="49" spans="1:34" ht="15">
      <c r="A49" s="78">
        <v>4</v>
      </c>
      <c r="B49" s="88">
        <f>'Energy Data Entry'!B70</f>
        <v>44317</v>
      </c>
      <c r="C49" s="80" t="str">
        <f>IF(OR('Process Data Entry'!C51="",'Process Data Entry'!C51=0),"",'Process Data Entry'!C51)</f>
        <v/>
      </c>
      <c r="D49" s="81" t="str">
        <f>IF(Table4[[#This Row],[Avg Daily Flow]]="","",_xlfn.DAYS(EOMONTH(B49,0),EOMONTH(B49,-1))*C49)</f>
        <v/>
      </c>
      <c r="E49" s="81" t="str">
        <f>IF('Process Data Entry'!F51="","",'Process Data Entry'!F51)</f>
        <v/>
      </c>
      <c r="F49" s="82" t="str">
        <f>IF(Table4[[#This Row],[BOD removed]]="","",Table4[[#This Row],[BOD removed]]*_xlfn.DAYS(EOMONTH(Table4[[#This Row],[Column2]],0),EOMONTH(Table4[[#This Row],[Column2]],-1)))</f>
        <v/>
      </c>
      <c r="G49" s="83" t="str">
        <f>IF(SUM('Energy Data Entry'!C70,'Energy Data Entry'!H70,'Energy Data Entry'!M70,'Energy Data Entry'!R70,'Energy Data Entry'!W70)=0,"",SUM('Energy Data Entry'!C70,'Energy Data Entry'!H70,'Energy Data Entry'!M70,'Energy Data Entry'!R70,'Energy Data Entry'!W70))</f>
        <v/>
      </c>
      <c r="H49" s="83">
        <f>'Energy Data Entry'!AG70</f>
        <v>0</v>
      </c>
      <c r="I49" s="83" t="str">
        <f>IF(Table4[[#This Row],[Electric kWh usage]]="","",Table4[[#This Row],[Gas kWh usage]]+Table4[[#This Row],[Electric kWh usage]])</f>
        <v/>
      </c>
      <c r="J49" s="82" t="str">
        <f>IF(OR(Table4[[#This Row],[Electric kWh usage]]="",Table4[[#This Row],[Monthly Flow]]=""),"",(Table4[[#This Row],[Electric kWh usage]]+Table4[[#This Row],[Gas kWh usage]])/Table4[[#This Row],[Monthly Flow]])</f>
        <v/>
      </c>
      <c r="K49" s="84" t="str">
        <f>_xlfn.IFERROR(IF(Table4[[#This Row],[Electric kWh usage]]="","",(Table4[[#This Row],[Electric kWh usage]]+Table4[[#This Row],[Gas kWh usage]])/Table4[[#This Row],[Total BOD removed]]),"")</f>
        <v/>
      </c>
      <c r="L49" s="83" t="str">
        <f>IF('Energy Data Entry'!E70+'Energy Data Entry'!J70+'Energy Data Entry'!O70+'Energy Data Entry'!T70+'Energy Data Entry'!Y70=0,"",'Energy Data Entry'!E70+'Energy Data Entry'!J70+'Energy Data Entry'!O70+'Energy Data Entry'!T70+'Energy Data Entry'!Y70)</f>
        <v/>
      </c>
      <c r="M49" s="83" t="str">
        <f>IF('Energy Data Entry'!F70+'Energy Data Entry'!K70+'Energy Data Entry'!P70++'Energy Data Entry'!U70+'Energy Data Entry'!Z70=0,"",'Energy Data Entry'!F70+'Energy Data Entry'!K70+'Energy Data Entry'!P70++'Energy Data Entry'!U70+'Energy Data Entry'!Z70)</f>
        <v/>
      </c>
      <c r="N49" s="85" t="str">
        <f>IF('Energy Data Entry'!G70+'Energy Data Entry'!L70+'Energy Data Entry'!Q70+'Energy Data Entry'!V70+'Energy Data Entry'!AA70=0,"",'Energy Data Entry'!G70+'Energy Data Entry'!L70+'Energy Data Entry'!Q70+'Energy Data Entry'!V70+'Energy Data Entry'!AA70)</f>
        <v/>
      </c>
      <c r="O49" s="85" t="str">
        <f>IF('Energy Data Entry'!D70+'Energy Data Entry'!I70+'Energy Data Entry'!N70+'Energy Data Entry'!S70+'Energy Data Entry'!X70=0,"",'Energy Data Entry'!D70+'Energy Data Entry'!I70+'Energy Data Entry'!N70+'Energy Data Entry'!S70+'Energy Data Entry'!X70)</f>
        <v/>
      </c>
      <c r="P49" s="412">
        <f>'Energy Data Entry'!AF70</f>
        <v>0</v>
      </c>
      <c r="Q49" s="151" t="str">
        <f>_xlfn.IFERROR(Table4[[#This Row],[Total electric cost]]/Table4[[#This Row],[Electric kWh usage]],"")</f>
        <v/>
      </c>
      <c r="R49" s="151" t="str">
        <f>_xlfn.IFERROR(Table4[[#This Row],[Electric Demand Cost]]/Table4[[#This Row],[Total Electric Demand (Billed)]],_xlfn.IFERROR(Table4[[#This Row],[Electric Demand Cost]]/Table4[[#This Row],[Total Electric Demand (Actual)]],""))</f>
        <v/>
      </c>
      <c r="S49" s="85" t="str">
        <f>_xlfn.IFERROR(Table4[[#This Row],[Total Gas cost]]+Table4[[#This Row],[Total electric cost]],"")</f>
        <v/>
      </c>
      <c r="T49" s="111"/>
      <c r="U49" s="85" t="str">
        <f>_xlfn.IFERROR(Table4[[#This Row],[Total Energy Cost]]/Table4[[#This Row],[Monthly Flow]],"")</f>
        <v/>
      </c>
      <c r="V49" s="85" t="str">
        <f>_xlfn.IFERROR(Table4[[#This Row],[Total Energy Cost]]/Table4[[#This Row],[Total BOD removed]],"")</f>
        <v/>
      </c>
      <c r="W49" s="116"/>
      <c r="X49" s="86" t="str">
        <f>IF('Process Data Entry'!G51="","",'Process Data Entry'!G51)</f>
        <v/>
      </c>
      <c r="Y49" s="86" t="str">
        <f>IF('Process Data Entry'!H51="","",'Process Data Entry'!H51)</f>
        <v/>
      </c>
      <c r="Z49" s="86">
        <f>IF('Process Data Entry'!I51="",0,'Process Data Entry'!I51)</f>
        <v>0</v>
      </c>
      <c r="AA49" s="86" t="str">
        <f>IF('Process Data Entry'!J51="","",'Process Data Entry'!J51)</f>
        <v/>
      </c>
      <c r="AB49" s="86" t="str">
        <f>IF('Process Data Entry'!K51="","",'Process Data Entry'!K51)</f>
        <v/>
      </c>
      <c r="AC49" s="86" t="str">
        <f>IF('Process Data Entry'!L51="","",'Process Data Entry'!L51)</f>
        <v/>
      </c>
      <c r="AD49" s="87" t="str">
        <f t="shared" si="3"/>
        <v/>
      </c>
      <c r="AE49" s="87" t="str">
        <f t="shared" si="4"/>
        <v/>
      </c>
      <c r="AF49" s="150" t="str">
        <f>IF('Process Data Entry'!M51="","",'Process Data Entry'!M51)</f>
        <v/>
      </c>
      <c r="AG49" s="150" t="str">
        <f>IF('Process Data Entry'!N51="","",'Process Data Entry'!N51)</f>
        <v/>
      </c>
      <c r="AH49" s="81" t="str">
        <f t="shared" si="5"/>
        <v/>
      </c>
    </row>
    <row r="50" spans="1:34" ht="15">
      <c r="A50" s="78">
        <v>4</v>
      </c>
      <c r="B50" s="88">
        <f>'Energy Data Entry'!B71</f>
        <v>44348</v>
      </c>
      <c r="C50" s="80" t="str">
        <f>IF(OR('Process Data Entry'!C52="",'Process Data Entry'!C52=0),"",'Process Data Entry'!C52)</f>
        <v/>
      </c>
      <c r="D50" s="81" t="str">
        <f>IF(Table4[[#This Row],[Avg Daily Flow]]="","",_xlfn.DAYS(EOMONTH(B50,0),EOMONTH(B50,-1))*C50)</f>
        <v/>
      </c>
      <c r="E50" s="81" t="str">
        <f>IF('Process Data Entry'!F52="","",'Process Data Entry'!F52)</f>
        <v/>
      </c>
      <c r="F50" s="82" t="str">
        <f>IF(Table4[[#This Row],[BOD removed]]="","",Table4[[#This Row],[BOD removed]]*_xlfn.DAYS(EOMONTH(Table4[[#This Row],[Column2]],0),EOMONTH(Table4[[#This Row],[Column2]],-1)))</f>
        <v/>
      </c>
      <c r="G50" s="83" t="str">
        <f>IF(SUM('Energy Data Entry'!C71,'Energy Data Entry'!H71,'Energy Data Entry'!M71,'Energy Data Entry'!R71,'Energy Data Entry'!W71)=0,"",SUM('Energy Data Entry'!C71,'Energy Data Entry'!H71,'Energy Data Entry'!M71,'Energy Data Entry'!R71,'Energy Data Entry'!W71))</f>
        <v/>
      </c>
      <c r="H50" s="83">
        <f>'Energy Data Entry'!AG71</f>
        <v>0</v>
      </c>
      <c r="I50" s="83" t="str">
        <f>IF(Table4[[#This Row],[Electric kWh usage]]="","",Table4[[#This Row],[Gas kWh usage]]+Table4[[#This Row],[Electric kWh usage]])</f>
        <v/>
      </c>
      <c r="J50" s="82" t="str">
        <f>IF(OR(Table4[[#This Row],[Electric kWh usage]]="",Table4[[#This Row],[Monthly Flow]]=""),"",(Table4[[#This Row],[Electric kWh usage]]+Table4[[#This Row],[Gas kWh usage]])/Table4[[#This Row],[Monthly Flow]])</f>
        <v/>
      </c>
      <c r="K50" s="84" t="str">
        <f>_xlfn.IFERROR(IF(Table4[[#This Row],[Electric kWh usage]]="","",(Table4[[#This Row],[Electric kWh usage]]+Table4[[#This Row],[Gas kWh usage]])/Table4[[#This Row],[Total BOD removed]]),"")</f>
        <v/>
      </c>
      <c r="L50" s="83" t="str">
        <f>IF('Energy Data Entry'!E71+'Energy Data Entry'!J71+'Energy Data Entry'!O71+'Energy Data Entry'!T71+'Energy Data Entry'!Y71=0,"",'Energy Data Entry'!E71+'Energy Data Entry'!J71+'Energy Data Entry'!O71+'Energy Data Entry'!T71+'Energy Data Entry'!Y71)</f>
        <v/>
      </c>
      <c r="M50" s="83" t="str">
        <f>IF('Energy Data Entry'!F71+'Energy Data Entry'!K71+'Energy Data Entry'!P71++'Energy Data Entry'!U71+'Energy Data Entry'!Z71=0,"",'Energy Data Entry'!F71+'Energy Data Entry'!K71+'Energy Data Entry'!P71++'Energy Data Entry'!U71+'Energy Data Entry'!Z71)</f>
        <v/>
      </c>
      <c r="N50" s="85" t="str">
        <f>IF('Energy Data Entry'!G71+'Energy Data Entry'!L71+'Energy Data Entry'!Q71+'Energy Data Entry'!V71+'Energy Data Entry'!AA71=0,"",'Energy Data Entry'!G71+'Energy Data Entry'!L71+'Energy Data Entry'!Q71+'Energy Data Entry'!V71+'Energy Data Entry'!AA71)</f>
        <v/>
      </c>
      <c r="O50" s="85" t="str">
        <f>IF('Energy Data Entry'!D71+'Energy Data Entry'!I71+'Energy Data Entry'!N71+'Energy Data Entry'!S71+'Energy Data Entry'!X71=0,"",'Energy Data Entry'!D71+'Energy Data Entry'!I71+'Energy Data Entry'!N71+'Energy Data Entry'!S71+'Energy Data Entry'!X71)</f>
        <v/>
      </c>
      <c r="P50" s="412">
        <f>'Energy Data Entry'!AF71</f>
        <v>0</v>
      </c>
      <c r="Q50" s="151" t="str">
        <f>_xlfn.IFERROR(Table4[[#This Row],[Total electric cost]]/Table4[[#This Row],[Electric kWh usage]],"")</f>
        <v/>
      </c>
      <c r="R50" s="151" t="str">
        <f>_xlfn.IFERROR(Table4[[#This Row],[Electric Demand Cost]]/Table4[[#This Row],[Total Electric Demand (Billed)]],_xlfn.IFERROR(Table4[[#This Row],[Electric Demand Cost]]/Table4[[#This Row],[Total Electric Demand (Actual)]],""))</f>
        <v/>
      </c>
      <c r="S50" s="85" t="str">
        <f>_xlfn.IFERROR(Table4[[#This Row],[Total Gas cost]]+Table4[[#This Row],[Total electric cost]],"")</f>
        <v/>
      </c>
      <c r="T50" s="111"/>
      <c r="U50" s="85" t="str">
        <f>_xlfn.IFERROR(Table4[[#This Row],[Total Energy Cost]]/Table4[[#This Row],[Monthly Flow]],"")</f>
        <v/>
      </c>
      <c r="V50" s="85" t="str">
        <f>_xlfn.IFERROR(Table4[[#This Row],[Total Energy Cost]]/Table4[[#This Row],[Total BOD removed]],"")</f>
        <v/>
      </c>
      <c r="W50" s="116"/>
      <c r="X50" s="86" t="str">
        <f>IF('Process Data Entry'!G52="","",'Process Data Entry'!G52)</f>
        <v/>
      </c>
      <c r="Y50" s="86" t="str">
        <f>IF('Process Data Entry'!H52="","",'Process Data Entry'!H52)</f>
        <v/>
      </c>
      <c r="Z50" s="86">
        <f>IF('Process Data Entry'!I52="",0,'Process Data Entry'!I52)</f>
        <v>0</v>
      </c>
      <c r="AA50" s="86" t="str">
        <f>IF('Process Data Entry'!J52="","",'Process Data Entry'!J52)</f>
        <v/>
      </c>
      <c r="AB50" s="86" t="str">
        <f>IF('Process Data Entry'!K52="","",'Process Data Entry'!K52)</f>
        <v/>
      </c>
      <c r="AC50" s="86" t="str">
        <f>IF('Process Data Entry'!L52="","",'Process Data Entry'!L52)</f>
        <v/>
      </c>
      <c r="AD50" s="87" t="str">
        <f t="shared" si="3"/>
        <v/>
      </c>
      <c r="AE50" s="87" t="str">
        <f t="shared" si="4"/>
        <v/>
      </c>
      <c r="AF50" s="150" t="str">
        <f>IF('Process Data Entry'!M52="","",'Process Data Entry'!M52)</f>
        <v/>
      </c>
      <c r="AG50" s="150" t="str">
        <f>IF('Process Data Entry'!N52="","",'Process Data Entry'!N52)</f>
        <v/>
      </c>
      <c r="AH50" s="81" t="str">
        <f t="shared" si="5"/>
        <v/>
      </c>
    </row>
    <row r="51" spans="1:34" s="105" customFormat="1" ht="15" thickBot="1">
      <c r="A51" s="97">
        <v>4</v>
      </c>
      <c r="B51" s="107">
        <f>'Energy Data Entry'!B72</f>
        <v>44378</v>
      </c>
      <c r="C51" s="361" t="str">
        <f>IF(OR('Process Data Entry'!C53="",'Process Data Entry'!C53=0),"",'Process Data Entry'!C53)</f>
        <v/>
      </c>
      <c r="D51" s="99" t="str">
        <f>IF(Table4[[#This Row],[Avg Daily Flow]]="","",_xlfn.DAYS(EOMONTH(B51,0),EOMONTH(B51,-1))*C51)</f>
        <v/>
      </c>
      <c r="E51" s="99" t="str">
        <f>IF('Process Data Entry'!F53="","",'Process Data Entry'!F53)</f>
        <v/>
      </c>
      <c r="F51" s="100" t="str">
        <f>IF(Table4[[#This Row],[BOD removed]]="","",Table4[[#This Row],[BOD removed]]*_xlfn.DAYS(EOMONTH(Table4[[#This Row],[Column2]],0),EOMONTH(Table4[[#This Row],[Column2]],-1)))</f>
        <v/>
      </c>
      <c r="G51" s="101" t="str">
        <f>IF(SUM('Energy Data Entry'!C72,'Energy Data Entry'!H72,'Energy Data Entry'!M72,'Energy Data Entry'!R72,'Energy Data Entry'!W72)=0,"",SUM('Energy Data Entry'!C72,'Energy Data Entry'!H72,'Energy Data Entry'!M72,'Energy Data Entry'!R72,'Energy Data Entry'!W72))</f>
        <v/>
      </c>
      <c r="H51" s="101">
        <f>'Energy Data Entry'!AG72</f>
        <v>0</v>
      </c>
      <c r="I51" s="101" t="str">
        <f>IF(Table4[[#This Row],[Electric kWh usage]]="","",Table4[[#This Row],[Gas kWh usage]]+Table4[[#This Row],[Electric kWh usage]])</f>
        <v/>
      </c>
      <c r="J51" s="100" t="str">
        <f>IF(OR(Table4[[#This Row],[Electric kWh usage]]="",Table4[[#This Row],[Monthly Flow]]=""),"",(Table4[[#This Row],[Electric kWh usage]]+Table4[[#This Row],[Gas kWh usage]])/Table4[[#This Row],[Monthly Flow]])</f>
        <v/>
      </c>
      <c r="K51" s="102" t="str">
        <f>_xlfn.IFERROR(IF(Table4[[#This Row],[Electric kWh usage]]="","",(Table4[[#This Row],[Electric kWh usage]]+Table4[[#This Row],[Gas kWh usage]])/Table4[[#This Row],[Total BOD removed]]),"")</f>
        <v/>
      </c>
      <c r="L51" s="101" t="str">
        <f>IF('Energy Data Entry'!E72+'Energy Data Entry'!J72+'Energy Data Entry'!O72+'Energy Data Entry'!T72+'Energy Data Entry'!Y72=0,"",'Energy Data Entry'!E72+'Energy Data Entry'!J72+'Energy Data Entry'!O72+'Energy Data Entry'!T72+'Energy Data Entry'!Y72)</f>
        <v/>
      </c>
      <c r="M51" s="101" t="str">
        <f>IF('Energy Data Entry'!F72+'Energy Data Entry'!K72+'Energy Data Entry'!P72++'Energy Data Entry'!U72+'Energy Data Entry'!Z72=0,"",'Energy Data Entry'!F72+'Energy Data Entry'!K72+'Energy Data Entry'!P72++'Energy Data Entry'!U72+'Energy Data Entry'!Z72)</f>
        <v/>
      </c>
      <c r="N51" s="103" t="str">
        <f>IF('Energy Data Entry'!G72+'Energy Data Entry'!L72+'Energy Data Entry'!Q72+'Energy Data Entry'!V72+'Energy Data Entry'!AA72=0,"",'Energy Data Entry'!G72+'Energy Data Entry'!L72+'Energy Data Entry'!Q72+'Energy Data Entry'!V72+'Energy Data Entry'!AA72)</f>
        <v/>
      </c>
      <c r="O51" s="103" t="str">
        <f>IF('Energy Data Entry'!D72+'Energy Data Entry'!I72+'Energy Data Entry'!N72+'Energy Data Entry'!S72+'Energy Data Entry'!X72=0,"",'Energy Data Entry'!D72+'Energy Data Entry'!I72+'Energy Data Entry'!N72+'Energy Data Entry'!S72+'Energy Data Entry'!X72)</f>
        <v/>
      </c>
      <c r="P51" s="413">
        <f>'Energy Data Entry'!AF72</f>
        <v>0</v>
      </c>
      <c r="Q51" s="152" t="str">
        <f>_xlfn.IFERROR(Table4[[#This Row],[Total electric cost]]/Table4[[#This Row],[Electric kWh usage]],"")</f>
        <v/>
      </c>
      <c r="R51" s="152" t="str">
        <f>_xlfn.IFERROR(Table4[[#This Row],[Electric Demand Cost]]/Table4[[#This Row],[Total Electric Demand (Billed)]],_xlfn.IFERROR(Table4[[#This Row],[Electric Demand Cost]]/Table4[[#This Row],[Total Electric Demand (Actual)]],""))</f>
        <v/>
      </c>
      <c r="S51" s="103" t="str">
        <f>_xlfn.IFERROR(Table4[[#This Row],[Total Gas cost]]+Table4[[#This Row],[Total electric cost]],"")</f>
        <v/>
      </c>
      <c r="T51" s="112"/>
      <c r="U51" s="103" t="str">
        <f>_xlfn.IFERROR(Table4[[#This Row],[Total Energy Cost]]/Table4[[#This Row],[Monthly Flow]],"")</f>
        <v/>
      </c>
      <c r="V51" s="103" t="str">
        <f>_xlfn.IFERROR(Table4[[#This Row],[Total Energy Cost]]/Table4[[#This Row],[Total BOD removed]],"")</f>
        <v/>
      </c>
      <c r="W51" s="362"/>
      <c r="X51" s="104" t="str">
        <f>IF('Process Data Entry'!G53="","",'Process Data Entry'!G53)</f>
        <v/>
      </c>
      <c r="Y51" s="104" t="str">
        <f>IF('Process Data Entry'!H53="","",'Process Data Entry'!H53)</f>
        <v/>
      </c>
      <c r="Z51" s="104">
        <f>IF('Process Data Entry'!I53="",0,'Process Data Entry'!I53)</f>
        <v>0</v>
      </c>
      <c r="AA51" s="104" t="str">
        <f>IF('Process Data Entry'!J53="","",'Process Data Entry'!J53)</f>
        <v/>
      </c>
      <c r="AB51" s="104" t="str">
        <f>IF('Process Data Entry'!K53="","",'Process Data Entry'!K53)</f>
        <v/>
      </c>
      <c r="AC51" s="104" t="str">
        <f>IF('Process Data Entry'!L53="","",'Process Data Entry'!L53)</f>
        <v/>
      </c>
      <c r="AD51" s="363" t="str">
        <f t="shared" si="3"/>
        <v/>
      </c>
      <c r="AE51" s="363" t="str">
        <f t="shared" si="4"/>
        <v/>
      </c>
      <c r="AF51" s="364" t="str">
        <f>IF('Process Data Entry'!M53="","",'Process Data Entry'!M53)</f>
        <v/>
      </c>
      <c r="AG51" s="364" t="str">
        <f>IF('Process Data Entry'!N53="","",'Process Data Entry'!N53)</f>
        <v/>
      </c>
      <c r="AH51" s="99" t="str">
        <f t="shared" si="5"/>
        <v/>
      </c>
    </row>
    <row r="52" spans="1:34" ht="15">
      <c r="A52" s="89">
        <v>5</v>
      </c>
      <c r="B52" s="106">
        <f>'Energy Data Entry'!B73</f>
        <v>44409</v>
      </c>
      <c r="C52" s="365" t="str">
        <f>IF(OR('Process Data Entry'!C54="",'Process Data Entry'!C54=0),"",'Process Data Entry'!C54)</f>
        <v/>
      </c>
      <c r="D52" s="91" t="str">
        <f>IF(Table4[[#This Row],[Avg Daily Flow]]="","",_xlfn.DAYS(EOMONTH(B52,0),EOMONTH(B52,-1))*C52)</f>
        <v/>
      </c>
      <c r="E52" s="91" t="str">
        <f>IF('Process Data Entry'!F54="","",'Process Data Entry'!F54)</f>
        <v/>
      </c>
      <c r="F52" s="92" t="str">
        <f>IF(Table4[[#This Row],[BOD removed]]="","",Table4[[#This Row],[BOD removed]]*_xlfn.DAYS(EOMONTH(Table4[[#This Row],[Column2]],0),EOMONTH(Table4[[#This Row],[Column2]],-1)))</f>
        <v/>
      </c>
      <c r="G52" s="93" t="str">
        <f>IF(SUM('Energy Data Entry'!C73,'Energy Data Entry'!H73,'Energy Data Entry'!M73,'Energy Data Entry'!R73,'Energy Data Entry'!W73)=0,"",SUM('Energy Data Entry'!C73,'Energy Data Entry'!H73,'Energy Data Entry'!M73,'Energy Data Entry'!R73,'Energy Data Entry'!W73))</f>
        <v/>
      </c>
      <c r="H52" s="93">
        <f>'Energy Data Entry'!AG73</f>
        <v>0</v>
      </c>
      <c r="I52" s="93" t="str">
        <f>IF(Table4[[#This Row],[Electric kWh usage]]="","",Table4[[#This Row],[Gas kWh usage]]+Table4[[#This Row],[Electric kWh usage]])</f>
        <v/>
      </c>
      <c r="J52" s="92" t="str">
        <f>IF(OR(Table4[[#This Row],[Electric kWh usage]]="",Table4[[#This Row],[Monthly Flow]]=""),"",(Table4[[#This Row],[Electric kWh usage]]+Table4[[#This Row],[Gas kWh usage]])/Table4[[#This Row],[Monthly Flow]])</f>
        <v/>
      </c>
      <c r="K52" s="94" t="str">
        <f>_xlfn.IFERROR(IF(Table4[[#This Row],[Electric kWh usage]]="","",(Table4[[#This Row],[Electric kWh usage]]+Table4[[#This Row],[Gas kWh usage]])/Table4[[#This Row],[Total BOD removed]]),"")</f>
        <v/>
      </c>
      <c r="L52" s="93" t="str">
        <f>IF('Energy Data Entry'!E73+'Energy Data Entry'!J73+'Energy Data Entry'!O73+'Energy Data Entry'!T73+'Energy Data Entry'!Y73=0,"",'Energy Data Entry'!E73+'Energy Data Entry'!J73+'Energy Data Entry'!O73+'Energy Data Entry'!T73+'Energy Data Entry'!Y73)</f>
        <v/>
      </c>
      <c r="M52" s="93" t="str">
        <f>IF('Energy Data Entry'!F73+'Energy Data Entry'!K73+'Energy Data Entry'!P73++'Energy Data Entry'!U73+'Energy Data Entry'!Z73=0,"",'Energy Data Entry'!F73+'Energy Data Entry'!K73+'Energy Data Entry'!P73++'Energy Data Entry'!U73+'Energy Data Entry'!Z73)</f>
        <v/>
      </c>
      <c r="N52" s="95" t="str">
        <f>IF('Energy Data Entry'!G73+'Energy Data Entry'!L73+'Energy Data Entry'!Q73+'Energy Data Entry'!V73+'Energy Data Entry'!AA73=0,"",'Energy Data Entry'!G73+'Energy Data Entry'!L73+'Energy Data Entry'!Q73+'Energy Data Entry'!V73+'Energy Data Entry'!AA73)</f>
        <v/>
      </c>
      <c r="O52" s="95" t="str">
        <f>IF('Energy Data Entry'!D73+'Energy Data Entry'!I73+'Energy Data Entry'!N73+'Energy Data Entry'!S73+'Energy Data Entry'!X73=0,"",'Energy Data Entry'!D73+'Energy Data Entry'!I73+'Energy Data Entry'!N73+'Energy Data Entry'!S73+'Energy Data Entry'!X73)</f>
        <v/>
      </c>
      <c r="P52" s="414">
        <f>'Energy Data Entry'!AF73</f>
        <v>0</v>
      </c>
      <c r="Q52" s="153" t="str">
        <f>_xlfn.IFERROR(Table4[[#This Row],[Total electric cost]]/Table4[[#This Row],[Electric kWh usage]],"")</f>
        <v/>
      </c>
      <c r="R52" s="153" t="str">
        <f>_xlfn.IFERROR(Table4[[#This Row],[Electric Demand Cost]]/Table4[[#This Row],[Total Electric Demand (Billed)]],_xlfn.IFERROR(Table4[[#This Row],[Electric Demand Cost]]/Table4[[#This Row],[Total Electric Demand (Actual)]],""))</f>
        <v/>
      </c>
      <c r="S52" s="95" t="str">
        <f>_xlfn.IFERROR(Table4[[#This Row],[Total Gas cost]]+Table4[[#This Row],[Total electric cost]],"")</f>
        <v/>
      </c>
      <c r="T52" s="113"/>
      <c r="U52" s="95" t="str">
        <f>_xlfn.IFERROR(Table4[[#This Row],[Total Energy Cost]]/Table4[[#This Row],[Monthly Flow]],"")</f>
        <v/>
      </c>
      <c r="V52" s="95" t="str">
        <f>_xlfn.IFERROR(Table4[[#This Row],[Total Energy Cost]]/Table4[[#This Row],[Total BOD removed]],"")</f>
        <v/>
      </c>
      <c r="W52" s="116"/>
      <c r="X52" s="96" t="str">
        <f>IF('Process Data Entry'!G54="","",'Process Data Entry'!G54)</f>
        <v/>
      </c>
      <c r="Y52" s="96" t="str">
        <f>IF('Process Data Entry'!H54="","",'Process Data Entry'!H54)</f>
        <v/>
      </c>
      <c r="Z52" s="96">
        <f>IF('Process Data Entry'!I54="",0,'Process Data Entry'!I54)</f>
        <v>0</v>
      </c>
      <c r="AA52" s="96" t="str">
        <f>IF('Process Data Entry'!J54="","",'Process Data Entry'!J54)</f>
        <v/>
      </c>
      <c r="AB52" s="96" t="str">
        <f>IF('Process Data Entry'!K54="","",'Process Data Entry'!K54)</f>
        <v/>
      </c>
      <c r="AC52" s="96" t="str">
        <f>IF('Process Data Entry'!L54="","",'Process Data Entry'!L54)</f>
        <v/>
      </c>
      <c r="AD52" s="366" t="str">
        <f t="shared" si="3"/>
        <v/>
      </c>
      <c r="AE52" s="366" t="str">
        <f t="shared" si="4"/>
        <v/>
      </c>
      <c r="AF52" s="367" t="str">
        <f>IF('Process Data Entry'!M54="","",'Process Data Entry'!M54)</f>
        <v/>
      </c>
      <c r="AG52" s="367" t="str">
        <f>IF('Process Data Entry'!N54="","",'Process Data Entry'!N54)</f>
        <v/>
      </c>
      <c r="AH52" s="91" t="str">
        <f t="shared" si="5"/>
        <v/>
      </c>
    </row>
    <row r="53" spans="1:34" ht="15">
      <c r="A53" s="78">
        <v>5</v>
      </c>
      <c r="B53" s="88">
        <f>'Energy Data Entry'!B74</f>
        <v>44440</v>
      </c>
      <c r="C53" s="80" t="str">
        <f>IF(OR('Process Data Entry'!C55="",'Process Data Entry'!C55=0),"",'Process Data Entry'!C55)</f>
        <v/>
      </c>
      <c r="D53" s="81" t="str">
        <f>IF(Table4[[#This Row],[Avg Daily Flow]]="","",_xlfn.DAYS(EOMONTH(B53,0),EOMONTH(B53,-1))*C53)</f>
        <v/>
      </c>
      <c r="E53" s="81" t="str">
        <f>IF('Process Data Entry'!F55="","",'Process Data Entry'!F55)</f>
        <v/>
      </c>
      <c r="F53" s="82" t="str">
        <f>IF(Table4[[#This Row],[BOD removed]]="","",Table4[[#This Row],[BOD removed]]*_xlfn.DAYS(EOMONTH(Table4[[#This Row],[Column2]],0),EOMONTH(Table4[[#This Row],[Column2]],-1)))</f>
        <v/>
      </c>
      <c r="G53" s="83" t="str">
        <f>IF(SUM('Energy Data Entry'!C74,'Energy Data Entry'!H74,'Energy Data Entry'!M74,'Energy Data Entry'!R74,'Energy Data Entry'!W74)=0,"",SUM('Energy Data Entry'!C74,'Energy Data Entry'!H74,'Energy Data Entry'!M74,'Energy Data Entry'!R74,'Energy Data Entry'!W74))</f>
        <v/>
      </c>
      <c r="H53" s="83">
        <f>'Energy Data Entry'!AG74</f>
        <v>0</v>
      </c>
      <c r="I53" s="83" t="str">
        <f>IF(Table4[[#This Row],[Electric kWh usage]]="","",Table4[[#This Row],[Gas kWh usage]]+Table4[[#This Row],[Electric kWh usage]])</f>
        <v/>
      </c>
      <c r="J53" s="82" t="str">
        <f>IF(OR(Table4[[#This Row],[Electric kWh usage]]="",Table4[[#This Row],[Monthly Flow]]=""),"",(Table4[[#This Row],[Electric kWh usage]]+Table4[[#This Row],[Gas kWh usage]])/Table4[[#This Row],[Monthly Flow]])</f>
        <v/>
      </c>
      <c r="K53" s="84" t="str">
        <f>_xlfn.IFERROR(IF(Table4[[#This Row],[Electric kWh usage]]="","",(Table4[[#This Row],[Electric kWh usage]]+Table4[[#This Row],[Gas kWh usage]])/Table4[[#This Row],[Total BOD removed]]),"")</f>
        <v/>
      </c>
      <c r="L53" s="83" t="str">
        <f>IF('Energy Data Entry'!E74+'Energy Data Entry'!J74+'Energy Data Entry'!O74+'Energy Data Entry'!T74+'Energy Data Entry'!Y74=0,"",'Energy Data Entry'!E74+'Energy Data Entry'!J74+'Energy Data Entry'!O74+'Energy Data Entry'!T74+'Energy Data Entry'!Y74)</f>
        <v/>
      </c>
      <c r="M53" s="83" t="str">
        <f>IF('Energy Data Entry'!F74+'Energy Data Entry'!K74+'Energy Data Entry'!P74++'Energy Data Entry'!U74+'Energy Data Entry'!Z74=0,"",'Energy Data Entry'!F74+'Energy Data Entry'!K74+'Energy Data Entry'!P74++'Energy Data Entry'!U74+'Energy Data Entry'!Z74)</f>
        <v/>
      </c>
      <c r="N53" s="85" t="str">
        <f>IF('Energy Data Entry'!G74+'Energy Data Entry'!L74+'Energy Data Entry'!Q74+'Energy Data Entry'!V74+'Energy Data Entry'!AA74=0,"",'Energy Data Entry'!G74+'Energy Data Entry'!L74+'Energy Data Entry'!Q74+'Energy Data Entry'!V74+'Energy Data Entry'!AA74)</f>
        <v/>
      </c>
      <c r="O53" s="85" t="str">
        <f>IF('Energy Data Entry'!D74+'Energy Data Entry'!I74+'Energy Data Entry'!N74+'Energy Data Entry'!S74+'Energy Data Entry'!X74=0,"",'Energy Data Entry'!D74+'Energy Data Entry'!I74+'Energy Data Entry'!N74+'Energy Data Entry'!S74+'Energy Data Entry'!X74)</f>
        <v/>
      </c>
      <c r="P53" s="412">
        <f>'Energy Data Entry'!AF74</f>
        <v>0</v>
      </c>
      <c r="Q53" s="151" t="str">
        <f>_xlfn.IFERROR(Table4[[#This Row],[Total electric cost]]/Table4[[#This Row],[Electric kWh usage]],"")</f>
        <v/>
      </c>
      <c r="R53" s="151" t="str">
        <f>_xlfn.IFERROR(Table4[[#This Row],[Electric Demand Cost]]/Table4[[#This Row],[Total Electric Demand (Billed)]],_xlfn.IFERROR(Table4[[#This Row],[Electric Demand Cost]]/Table4[[#This Row],[Total Electric Demand (Actual)]],""))</f>
        <v/>
      </c>
      <c r="S53" s="85" t="str">
        <f>_xlfn.IFERROR(Table4[[#This Row],[Total Gas cost]]+Table4[[#This Row],[Total electric cost]],"")</f>
        <v/>
      </c>
      <c r="T53" s="111"/>
      <c r="U53" s="85" t="str">
        <f>_xlfn.IFERROR(Table4[[#This Row],[Total Energy Cost]]/Table4[[#This Row],[Monthly Flow]],"")</f>
        <v/>
      </c>
      <c r="V53" s="85" t="str">
        <f>_xlfn.IFERROR(Table4[[#This Row],[Total Energy Cost]]/Table4[[#This Row],[Total BOD removed]],"")</f>
        <v/>
      </c>
      <c r="W53" s="116"/>
      <c r="X53" s="86" t="str">
        <f>IF('Process Data Entry'!G55="","",'Process Data Entry'!G55)</f>
        <v/>
      </c>
      <c r="Y53" s="86" t="str">
        <f>IF('Process Data Entry'!H55="","",'Process Data Entry'!H55)</f>
        <v/>
      </c>
      <c r="Z53" s="86">
        <f>IF('Process Data Entry'!I55="",0,'Process Data Entry'!I55)</f>
        <v>0</v>
      </c>
      <c r="AA53" s="86" t="str">
        <f>IF('Process Data Entry'!J55="","",'Process Data Entry'!J55)</f>
        <v/>
      </c>
      <c r="AB53" s="86" t="str">
        <f>IF('Process Data Entry'!K55="","",'Process Data Entry'!K55)</f>
        <v/>
      </c>
      <c r="AC53" s="86" t="str">
        <f>IF('Process Data Entry'!L55="","",'Process Data Entry'!L55)</f>
        <v/>
      </c>
      <c r="AD53" s="87" t="str">
        <f t="shared" si="3"/>
        <v/>
      </c>
      <c r="AE53" s="87" t="str">
        <f t="shared" si="4"/>
        <v/>
      </c>
      <c r="AF53" s="150" t="str">
        <f>IF('Process Data Entry'!M55="","",'Process Data Entry'!M55)</f>
        <v/>
      </c>
      <c r="AG53" s="150" t="str">
        <f>IF('Process Data Entry'!N55="","",'Process Data Entry'!N55)</f>
        <v/>
      </c>
      <c r="AH53" s="81" t="str">
        <f t="shared" si="5"/>
        <v/>
      </c>
    </row>
    <row r="54" spans="1:34" ht="15">
      <c r="A54" s="78">
        <v>5</v>
      </c>
      <c r="B54" s="88">
        <f>'Energy Data Entry'!B75</f>
        <v>44470</v>
      </c>
      <c r="C54" s="80" t="str">
        <f>IF(OR('Process Data Entry'!C56="",'Process Data Entry'!C56=0),"",'Process Data Entry'!C56)</f>
        <v/>
      </c>
      <c r="D54" s="81" t="str">
        <f>IF(Table4[[#This Row],[Avg Daily Flow]]="","",_xlfn.DAYS(EOMONTH(B54,0),EOMONTH(B54,-1))*C54)</f>
        <v/>
      </c>
      <c r="E54" s="81" t="str">
        <f>IF('Process Data Entry'!F56="","",'Process Data Entry'!F56)</f>
        <v/>
      </c>
      <c r="F54" s="82" t="str">
        <f>IF(Table4[[#This Row],[BOD removed]]="","",Table4[[#This Row],[BOD removed]]*_xlfn.DAYS(EOMONTH(Table4[[#This Row],[Column2]],0),EOMONTH(Table4[[#This Row],[Column2]],-1)))</f>
        <v/>
      </c>
      <c r="G54" s="83" t="str">
        <f>IF(SUM('Energy Data Entry'!C75,'Energy Data Entry'!H75,'Energy Data Entry'!M75,'Energy Data Entry'!R75,'Energy Data Entry'!W75)=0,"",SUM('Energy Data Entry'!C75,'Energy Data Entry'!H75,'Energy Data Entry'!M75,'Energy Data Entry'!R75,'Energy Data Entry'!W75))</f>
        <v/>
      </c>
      <c r="H54" s="83">
        <f>'Energy Data Entry'!AG75</f>
        <v>0</v>
      </c>
      <c r="I54" s="83" t="str">
        <f>IF(Table4[[#This Row],[Electric kWh usage]]="","",Table4[[#This Row],[Gas kWh usage]]+Table4[[#This Row],[Electric kWh usage]])</f>
        <v/>
      </c>
      <c r="J54" s="82" t="str">
        <f>IF(OR(Table4[[#This Row],[Electric kWh usage]]="",Table4[[#This Row],[Monthly Flow]]=""),"",(Table4[[#This Row],[Electric kWh usage]]+Table4[[#This Row],[Gas kWh usage]])/Table4[[#This Row],[Monthly Flow]])</f>
        <v/>
      </c>
      <c r="K54" s="84" t="str">
        <f>_xlfn.IFERROR(IF(Table4[[#This Row],[Electric kWh usage]]="","",(Table4[[#This Row],[Electric kWh usage]]+Table4[[#This Row],[Gas kWh usage]])/Table4[[#This Row],[Total BOD removed]]),"")</f>
        <v/>
      </c>
      <c r="L54" s="83" t="str">
        <f>IF('Energy Data Entry'!E75+'Energy Data Entry'!J75+'Energy Data Entry'!O75+'Energy Data Entry'!T75+'Energy Data Entry'!Y75=0,"",'Energy Data Entry'!E75+'Energy Data Entry'!J75+'Energy Data Entry'!O75+'Energy Data Entry'!T75+'Energy Data Entry'!Y75)</f>
        <v/>
      </c>
      <c r="M54" s="83" t="str">
        <f>IF('Energy Data Entry'!F75+'Energy Data Entry'!K75+'Energy Data Entry'!P75++'Energy Data Entry'!U75+'Energy Data Entry'!Z75=0,"",'Energy Data Entry'!F75+'Energy Data Entry'!K75+'Energy Data Entry'!P75++'Energy Data Entry'!U75+'Energy Data Entry'!Z75)</f>
        <v/>
      </c>
      <c r="N54" s="85" t="str">
        <f>IF('Energy Data Entry'!G75+'Energy Data Entry'!L75+'Energy Data Entry'!Q75+'Energy Data Entry'!V75+'Energy Data Entry'!AA75=0,"",'Energy Data Entry'!G75+'Energy Data Entry'!L75+'Energy Data Entry'!Q75+'Energy Data Entry'!V75+'Energy Data Entry'!AA75)</f>
        <v/>
      </c>
      <c r="O54" s="85" t="str">
        <f>IF('Energy Data Entry'!D75+'Energy Data Entry'!I75+'Energy Data Entry'!N75+'Energy Data Entry'!S75+'Energy Data Entry'!X75=0,"",'Energy Data Entry'!D75+'Energy Data Entry'!I75+'Energy Data Entry'!N75+'Energy Data Entry'!S75+'Energy Data Entry'!X75)</f>
        <v/>
      </c>
      <c r="P54" s="412">
        <f>'Energy Data Entry'!AF75</f>
        <v>0</v>
      </c>
      <c r="Q54" s="151" t="str">
        <f>_xlfn.IFERROR(Table4[[#This Row],[Total electric cost]]/Table4[[#This Row],[Electric kWh usage]],"")</f>
        <v/>
      </c>
      <c r="R54" s="151" t="str">
        <f>_xlfn.IFERROR(Table4[[#This Row],[Electric Demand Cost]]/Table4[[#This Row],[Total Electric Demand (Billed)]],_xlfn.IFERROR(Table4[[#This Row],[Electric Demand Cost]]/Table4[[#This Row],[Total Electric Demand (Actual)]],""))</f>
        <v/>
      </c>
      <c r="S54" s="85" t="str">
        <f>_xlfn.IFERROR(Table4[[#This Row],[Total Gas cost]]+Table4[[#This Row],[Total electric cost]],"")</f>
        <v/>
      </c>
      <c r="T54" s="111"/>
      <c r="U54" s="85" t="str">
        <f>_xlfn.IFERROR(Table4[[#This Row],[Total Energy Cost]]/Table4[[#This Row],[Monthly Flow]],"")</f>
        <v/>
      </c>
      <c r="V54" s="85" t="str">
        <f>_xlfn.IFERROR(Table4[[#This Row],[Total Energy Cost]]/Table4[[#This Row],[Total BOD removed]],"")</f>
        <v/>
      </c>
      <c r="W54" s="116"/>
      <c r="X54" s="86" t="str">
        <f>IF('Process Data Entry'!G56="","",'Process Data Entry'!G56)</f>
        <v/>
      </c>
      <c r="Y54" s="86" t="str">
        <f>IF('Process Data Entry'!H56="","",'Process Data Entry'!H56)</f>
        <v/>
      </c>
      <c r="Z54" s="86">
        <f>IF('Process Data Entry'!I56="",0,'Process Data Entry'!I56)</f>
        <v>0</v>
      </c>
      <c r="AA54" s="86" t="str">
        <f>IF('Process Data Entry'!J56="","",'Process Data Entry'!J56)</f>
        <v/>
      </c>
      <c r="AB54" s="86" t="str">
        <f>IF('Process Data Entry'!K56="","",'Process Data Entry'!K56)</f>
        <v/>
      </c>
      <c r="AC54" s="86" t="str">
        <f>IF('Process Data Entry'!L56="","",'Process Data Entry'!L56)</f>
        <v/>
      </c>
      <c r="AD54" s="87" t="str">
        <f t="shared" si="3"/>
        <v/>
      </c>
      <c r="AE54" s="87" t="str">
        <f t="shared" si="4"/>
        <v/>
      </c>
      <c r="AF54" s="150" t="str">
        <f>IF('Process Data Entry'!M56="","",'Process Data Entry'!M56)</f>
        <v/>
      </c>
      <c r="AG54" s="150" t="str">
        <f>IF('Process Data Entry'!N56="","",'Process Data Entry'!N56)</f>
        <v/>
      </c>
      <c r="AH54" s="81" t="str">
        <f t="shared" si="5"/>
        <v/>
      </c>
    </row>
    <row r="55" spans="1:34" ht="15">
      <c r="A55" s="78">
        <v>5</v>
      </c>
      <c r="B55" s="88">
        <f>'Energy Data Entry'!B76</f>
        <v>44501</v>
      </c>
      <c r="C55" s="80" t="str">
        <f>IF(OR('Process Data Entry'!C57="",'Process Data Entry'!C57=0),"",'Process Data Entry'!C57)</f>
        <v/>
      </c>
      <c r="D55" s="81" t="str">
        <f>IF(Table4[[#This Row],[Avg Daily Flow]]="","",_xlfn.DAYS(EOMONTH(B55,0),EOMONTH(B55,-1))*C55)</f>
        <v/>
      </c>
      <c r="E55" s="81" t="str">
        <f>IF('Process Data Entry'!F57="","",'Process Data Entry'!F57)</f>
        <v/>
      </c>
      <c r="F55" s="82" t="str">
        <f>IF(Table4[[#This Row],[BOD removed]]="","",Table4[[#This Row],[BOD removed]]*_xlfn.DAYS(EOMONTH(Table4[[#This Row],[Column2]],0),EOMONTH(Table4[[#This Row],[Column2]],-1)))</f>
        <v/>
      </c>
      <c r="G55" s="83" t="str">
        <f>IF(SUM('Energy Data Entry'!C76,'Energy Data Entry'!H76,'Energy Data Entry'!M76,'Energy Data Entry'!R76,'Energy Data Entry'!W76)=0,"",SUM('Energy Data Entry'!C76,'Energy Data Entry'!H76,'Energy Data Entry'!M76,'Energy Data Entry'!R76,'Energy Data Entry'!W76))</f>
        <v/>
      </c>
      <c r="H55" s="83">
        <f>'Energy Data Entry'!AG76</f>
        <v>0</v>
      </c>
      <c r="I55" s="83" t="str">
        <f>IF(Table4[[#This Row],[Electric kWh usage]]="","",Table4[[#This Row],[Gas kWh usage]]+Table4[[#This Row],[Electric kWh usage]])</f>
        <v/>
      </c>
      <c r="J55" s="82" t="str">
        <f>IF(OR(Table4[[#This Row],[Electric kWh usage]]="",Table4[[#This Row],[Monthly Flow]]=""),"",(Table4[[#This Row],[Electric kWh usage]]+Table4[[#This Row],[Gas kWh usage]])/Table4[[#This Row],[Monthly Flow]])</f>
        <v/>
      </c>
      <c r="K55" s="84" t="str">
        <f>_xlfn.IFERROR(IF(Table4[[#This Row],[Electric kWh usage]]="","",(Table4[[#This Row],[Electric kWh usage]]+Table4[[#This Row],[Gas kWh usage]])/Table4[[#This Row],[Total BOD removed]]),"")</f>
        <v/>
      </c>
      <c r="L55" s="83" t="str">
        <f>IF('Energy Data Entry'!E76+'Energy Data Entry'!J76+'Energy Data Entry'!O76+'Energy Data Entry'!T76+'Energy Data Entry'!Y76=0,"",'Energy Data Entry'!E76+'Energy Data Entry'!J76+'Energy Data Entry'!O76+'Energy Data Entry'!T76+'Energy Data Entry'!Y76)</f>
        <v/>
      </c>
      <c r="M55" s="83" t="str">
        <f>IF('Energy Data Entry'!F76+'Energy Data Entry'!K76+'Energy Data Entry'!P76++'Energy Data Entry'!U76+'Energy Data Entry'!Z76=0,"",'Energy Data Entry'!F76+'Energy Data Entry'!K76+'Energy Data Entry'!P76++'Energy Data Entry'!U76+'Energy Data Entry'!Z76)</f>
        <v/>
      </c>
      <c r="N55" s="85" t="str">
        <f>IF('Energy Data Entry'!G76+'Energy Data Entry'!L76+'Energy Data Entry'!Q76+'Energy Data Entry'!V76+'Energy Data Entry'!AA76=0,"",'Energy Data Entry'!G76+'Energy Data Entry'!L76+'Energy Data Entry'!Q76+'Energy Data Entry'!V76+'Energy Data Entry'!AA76)</f>
        <v/>
      </c>
      <c r="O55" s="85" t="str">
        <f>IF('Energy Data Entry'!D76+'Energy Data Entry'!I76+'Energy Data Entry'!N76+'Energy Data Entry'!S76+'Energy Data Entry'!X76=0,"",'Energy Data Entry'!D76+'Energy Data Entry'!I76+'Energy Data Entry'!N76+'Energy Data Entry'!S76+'Energy Data Entry'!X76)</f>
        <v/>
      </c>
      <c r="P55" s="412">
        <f>'Energy Data Entry'!AF76</f>
        <v>0</v>
      </c>
      <c r="Q55" s="151" t="str">
        <f>_xlfn.IFERROR(Table4[[#This Row],[Total electric cost]]/Table4[[#This Row],[Electric kWh usage]],"")</f>
        <v/>
      </c>
      <c r="R55" s="151" t="str">
        <f>_xlfn.IFERROR(Table4[[#This Row],[Electric Demand Cost]]/Table4[[#This Row],[Total Electric Demand (Billed)]],_xlfn.IFERROR(Table4[[#This Row],[Electric Demand Cost]]/Table4[[#This Row],[Total Electric Demand (Actual)]],""))</f>
        <v/>
      </c>
      <c r="S55" s="85" t="str">
        <f>_xlfn.IFERROR(Table4[[#This Row],[Total Gas cost]]+Table4[[#This Row],[Total electric cost]],"")</f>
        <v/>
      </c>
      <c r="T55" s="111"/>
      <c r="U55" s="85" t="str">
        <f>_xlfn.IFERROR(Table4[[#This Row],[Total Energy Cost]]/Table4[[#This Row],[Monthly Flow]],"")</f>
        <v/>
      </c>
      <c r="V55" s="85" t="str">
        <f>_xlfn.IFERROR(Table4[[#This Row],[Total Energy Cost]]/Table4[[#This Row],[Total BOD removed]],"")</f>
        <v/>
      </c>
      <c r="W55" s="116"/>
      <c r="X55" s="86" t="str">
        <f>IF('Process Data Entry'!G57="","",'Process Data Entry'!G57)</f>
        <v/>
      </c>
      <c r="Y55" s="86" t="str">
        <f>IF('Process Data Entry'!H57="","",'Process Data Entry'!H57)</f>
        <v/>
      </c>
      <c r="Z55" s="86">
        <f>IF('Process Data Entry'!I57="",0,'Process Data Entry'!I57)</f>
        <v>0</v>
      </c>
      <c r="AA55" s="86" t="str">
        <f>IF('Process Data Entry'!J57="","",'Process Data Entry'!J57)</f>
        <v/>
      </c>
      <c r="AB55" s="86" t="str">
        <f>IF('Process Data Entry'!K57="","",'Process Data Entry'!K57)</f>
        <v/>
      </c>
      <c r="AC55" s="86" t="str">
        <f>IF('Process Data Entry'!L57="","",'Process Data Entry'!L57)</f>
        <v/>
      </c>
      <c r="AD55" s="87" t="str">
        <f t="shared" si="3"/>
        <v/>
      </c>
      <c r="AE55" s="87" t="str">
        <f t="shared" si="4"/>
        <v/>
      </c>
      <c r="AF55" s="150" t="str">
        <f>IF('Process Data Entry'!M57="","",'Process Data Entry'!M57)</f>
        <v/>
      </c>
      <c r="AG55" s="150" t="str">
        <f>IF('Process Data Entry'!N57="","",'Process Data Entry'!N57)</f>
        <v/>
      </c>
      <c r="AH55" s="81" t="str">
        <f t="shared" si="5"/>
        <v/>
      </c>
    </row>
    <row r="56" spans="1:34" ht="15">
      <c r="A56" s="78">
        <v>5</v>
      </c>
      <c r="B56" s="88">
        <f>'Energy Data Entry'!B77</f>
        <v>44531</v>
      </c>
      <c r="C56" s="80" t="str">
        <f>IF(OR('Process Data Entry'!C58="",'Process Data Entry'!C58=0),"",'Process Data Entry'!C58)</f>
        <v/>
      </c>
      <c r="D56" s="81" t="str">
        <f>IF(Table4[[#This Row],[Avg Daily Flow]]="","",_xlfn.DAYS(EOMONTH(B56,0),EOMONTH(B56,-1))*C56)</f>
        <v/>
      </c>
      <c r="E56" s="81" t="str">
        <f>IF('Process Data Entry'!F58="","",'Process Data Entry'!F58)</f>
        <v/>
      </c>
      <c r="F56" s="82" t="str">
        <f>IF(Table4[[#This Row],[BOD removed]]="","",Table4[[#This Row],[BOD removed]]*_xlfn.DAYS(EOMONTH(Table4[[#This Row],[Column2]],0),EOMONTH(Table4[[#This Row],[Column2]],-1)))</f>
        <v/>
      </c>
      <c r="G56" s="83" t="str">
        <f>IF(SUM('Energy Data Entry'!C77,'Energy Data Entry'!H77,'Energy Data Entry'!M77,'Energy Data Entry'!R77,'Energy Data Entry'!W77)=0,"",SUM('Energy Data Entry'!C77,'Energy Data Entry'!H77,'Energy Data Entry'!M77,'Energy Data Entry'!R77,'Energy Data Entry'!W77))</f>
        <v/>
      </c>
      <c r="H56" s="83">
        <f>'Energy Data Entry'!AG77</f>
        <v>0</v>
      </c>
      <c r="I56" s="83" t="str">
        <f>IF(Table4[[#This Row],[Electric kWh usage]]="","",Table4[[#This Row],[Gas kWh usage]]+Table4[[#This Row],[Electric kWh usage]])</f>
        <v/>
      </c>
      <c r="J56" s="82" t="str">
        <f>IF(OR(Table4[[#This Row],[Electric kWh usage]]="",Table4[[#This Row],[Monthly Flow]]=""),"",(Table4[[#This Row],[Electric kWh usage]]+Table4[[#This Row],[Gas kWh usage]])/Table4[[#This Row],[Monthly Flow]])</f>
        <v/>
      </c>
      <c r="K56" s="84" t="str">
        <f>_xlfn.IFERROR(IF(Table4[[#This Row],[Electric kWh usage]]="","",(Table4[[#This Row],[Electric kWh usage]]+Table4[[#This Row],[Gas kWh usage]])/Table4[[#This Row],[Total BOD removed]]),"")</f>
        <v/>
      </c>
      <c r="L56" s="83" t="str">
        <f>IF('Energy Data Entry'!E77+'Energy Data Entry'!J77+'Energy Data Entry'!O77+'Energy Data Entry'!T77+'Energy Data Entry'!Y77=0,"",'Energy Data Entry'!E77+'Energy Data Entry'!J77+'Energy Data Entry'!O77+'Energy Data Entry'!T77+'Energy Data Entry'!Y77)</f>
        <v/>
      </c>
      <c r="M56" s="83" t="str">
        <f>IF('Energy Data Entry'!F77+'Energy Data Entry'!K77+'Energy Data Entry'!P77++'Energy Data Entry'!U77+'Energy Data Entry'!Z77=0,"",'Energy Data Entry'!F77+'Energy Data Entry'!K77+'Energy Data Entry'!P77++'Energy Data Entry'!U77+'Energy Data Entry'!Z77)</f>
        <v/>
      </c>
      <c r="N56" s="85" t="str">
        <f>IF('Energy Data Entry'!G77+'Energy Data Entry'!L77+'Energy Data Entry'!Q77+'Energy Data Entry'!V77+'Energy Data Entry'!AA77=0,"",'Energy Data Entry'!G77+'Energy Data Entry'!L77+'Energy Data Entry'!Q77+'Energy Data Entry'!V77+'Energy Data Entry'!AA77)</f>
        <v/>
      </c>
      <c r="O56" s="85" t="str">
        <f>IF('Energy Data Entry'!D77+'Energy Data Entry'!I77+'Energy Data Entry'!N77+'Energy Data Entry'!S77+'Energy Data Entry'!X77=0,"",'Energy Data Entry'!D77+'Energy Data Entry'!I77+'Energy Data Entry'!N77+'Energy Data Entry'!S77+'Energy Data Entry'!X77)</f>
        <v/>
      </c>
      <c r="P56" s="412">
        <f>'Energy Data Entry'!AF77</f>
        <v>0</v>
      </c>
      <c r="Q56" s="151" t="str">
        <f>_xlfn.IFERROR(Table4[[#This Row],[Total electric cost]]/Table4[[#This Row],[Electric kWh usage]],"")</f>
        <v/>
      </c>
      <c r="R56" s="151" t="str">
        <f>_xlfn.IFERROR(Table4[[#This Row],[Electric Demand Cost]]/Table4[[#This Row],[Total Electric Demand (Billed)]],_xlfn.IFERROR(Table4[[#This Row],[Electric Demand Cost]]/Table4[[#This Row],[Total Electric Demand (Actual)]],""))</f>
        <v/>
      </c>
      <c r="S56" s="85" t="str">
        <f>_xlfn.IFERROR(Table4[[#This Row],[Total Gas cost]]+Table4[[#This Row],[Total electric cost]],"")</f>
        <v/>
      </c>
      <c r="T56" s="111"/>
      <c r="U56" s="85" t="str">
        <f>_xlfn.IFERROR(Table4[[#This Row],[Total Energy Cost]]/Table4[[#This Row],[Monthly Flow]],"")</f>
        <v/>
      </c>
      <c r="V56" s="85" t="str">
        <f>_xlfn.IFERROR(Table4[[#This Row],[Total Energy Cost]]/Table4[[#This Row],[Total BOD removed]],"")</f>
        <v/>
      </c>
      <c r="W56" s="116"/>
      <c r="X56" s="86" t="str">
        <f>IF('Process Data Entry'!G58="","",'Process Data Entry'!G58)</f>
        <v/>
      </c>
      <c r="Y56" s="86" t="str">
        <f>IF('Process Data Entry'!H58="","",'Process Data Entry'!H58)</f>
        <v/>
      </c>
      <c r="Z56" s="86">
        <f>IF('Process Data Entry'!I58="",0,'Process Data Entry'!I58)</f>
        <v>0</v>
      </c>
      <c r="AA56" s="86" t="str">
        <f>IF('Process Data Entry'!J58="","",'Process Data Entry'!J58)</f>
        <v/>
      </c>
      <c r="AB56" s="86" t="str">
        <f>IF('Process Data Entry'!K58="","",'Process Data Entry'!K58)</f>
        <v/>
      </c>
      <c r="AC56" s="86" t="str">
        <f>IF('Process Data Entry'!L58="","",'Process Data Entry'!L58)</f>
        <v/>
      </c>
      <c r="AD56" s="87" t="str">
        <f t="shared" si="3"/>
        <v/>
      </c>
      <c r="AE56" s="87" t="str">
        <f t="shared" si="4"/>
        <v/>
      </c>
      <c r="AF56" s="150" t="str">
        <f>IF('Process Data Entry'!M58="","",'Process Data Entry'!M58)</f>
        <v/>
      </c>
      <c r="AG56" s="150" t="str">
        <f>IF('Process Data Entry'!N58="","",'Process Data Entry'!N58)</f>
        <v/>
      </c>
      <c r="AH56" s="81" t="str">
        <f t="shared" si="5"/>
        <v/>
      </c>
    </row>
    <row r="57" spans="1:34" ht="15">
      <c r="A57" s="78">
        <v>5</v>
      </c>
      <c r="B57" s="88">
        <f>'Energy Data Entry'!B78</f>
        <v>44562</v>
      </c>
      <c r="C57" s="80" t="str">
        <f>IF(OR('Process Data Entry'!C59="",'Process Data Entry'!C59=0),"",'Process Data Entry'!C59)</f>
        <v/>
      </c>
      <c r="D57" s="81" t="str">
        <f>IF(Table4[[#This Row],[Avg Daily Flow]]="","",_xlfn.DAYS(EOMONTH(B57,0),EOMONTH(B57,-1))*C57)</f>
        <v/>
      </c>
      <c r="E57" s="81" t="str">
        <f>IF('Process Data Entry'!F59="","",'Process Data Entry'!F59)</f>
        <v/>
      </c>
      <c r="F57" s="82" t="str">
        <f>IF(Table4[[#This Row],[BOD removed]]="","",Table4[[#This Row],[BOD removed]]*_xlfn.DAYS(EOMONTH(Table4[[#This Row],[Column2]],0),EOMONTH(Table4[[#This Row],[Column2]],-1)))</f>
        <v/>
      </c>
      <c r="G57" s="83" t="str">
        <f>IF(SUM('Energy Data Entry'!C78,'Energy Data Entry'!H78,'Energy Data Entry'!M78,'Energy Data Entry'!R78,'Energy Data Entry'!W78)=0,"",SUM('Energy Data Entry'!C78,'Energy Data Entry'!H78,'Energy Data Entry'!M78,'Energy Data Entry'!R78,'Energy Data Entry'!W78))</f>
        <v/>
      </c>
      <c r="H57" s="83">
        <f>'Energy Data Entry'!AG78</f>
        <v>0</v>
      </c>
      <c r="I57" s="83" t="str">
        <f>IF(Table4[[#This Row],[Electric kWh usage]]="","",Table4[[#This Row],[Gas kWh usage]]+Table4[[#This Row],[Electric kWh usage]])</f>
        <v/>
      </c>
      <c r="J57" s="82" t="str">
        <f>IF(OR(Table4[[#This Row],[Electric kWh usage]]="",Table4[[#This Row],[Monthly Flow]]=""),"",(Table4[[#This Row],[Electric kWh usage]]+Table4[[#This Row],[Gas kWh usage]])/Table4[[#This Row],[Monthly Flow]])</f>
        <v/>
      </c>
      <c r="K57" s="84" t="str">
        <f>_xlfn.IFERROR(IF(Table4[[#This Row],[Electric kWh usage]]="","",(Table4[[#This Row],[Electric kWh usage]]+Table4[[#This Row],[Gas kWh usage]])/Table4[[#This Row],[Total BOD removed]]),"")</f>
        <v/>
      </c>
      <c r="L57" s="83" t="str">
        <f>IF('Energy Data Entry'!E78+'Energy Data Entry'!J78+'Energy Data Entry'!O78+'Energy Data Entry'!T78+'Energy Data Entry'!Y78=0,"",'Energy Data Entry'!E78+'Energy Data Entry'!J78+'Energy Data Entry'!O78+'Energy Data Entry'!T78+'Energy Data Entry'!Y78)</f>
        <v/>
      </c>
      <c r="M57" s="83" t="str">
        <f>IF('Energy Data Entry'!F78+'Energy Data Entry'!K78+'Energy Data Entry'!P78++'Energy Data Entry'!U78+'Energy Data Entry'!Z78=0,"",'Energy Data Entry'!F78+'Energy Data Entry'!K78+'Energy Data Entry'!P78++'Energy Data Entry'!U78+'Energy Data Entry'!Z78)</f>
        <v/>
      </c>
      <c r="N57" s="85" t="str">
        <f>IF('Energy Data Entry'!G78+'Energy Data Entry'!L78+'Energy Data Entry'!Q78+'Energy Data Entry'!V78+'Energy Data Entry'!AA78=0,"",'Energy Data Entry'!G78+'Energy Data Entry'!L78+'Energy Data Entry'!Q78+'Energy Data Entry'!V78+'Energy Data Entry'!AA78)</f>
        <v/>
      </c>
      <c r="O57" s="85" t="str">
        <f>IF('Energy Data Entry'!D78+'Energy Data Entry'!I78+'Energy Data Entry'!N78+'Energy Data Entry'!S78+'Energy Data Entry'!X78=0,"",'Energy Data Entry'!D78+'Energy Data Entry'!I78+'Energy Data Entry'!N78+'Energy Data Entry'!S78+'Energy Data Entry'!X78)</f>
        <v/>
      </c>
      <c r="P57" s="412">
        <f>'Energy Data Entry'!AF78</f>
        <v>0</v>
      </c>
      <c r="Q57" s="151" t="str">
        <f>_xlfn.IFERROR(Table4[[#This Row],[Total electric cost]]/Table4[[#This Row],[Electric kWh usage]],"")</f>
        <v/>
      </c>
      <c r="R57" s="151" t="str">
        <f>_xlfn.IFERROR(Table4[[#This Row],[Electric Demand Cost]]/Table4[[#This Row],[Total Electric Demand (Billed)]],_xlfn.IFERROR(Table4[[#This Row],[Electric Demand Cost]]/Table4[[#This Row],[Total Electric Demand (Actual)]],""))</f>
        <v/>
      </c>
      <c r="S57" s="85" t="str">
        <f>_xlfn.IFERROR(Table4[[#This Row],[Total Gas cost]]+Table4[[#This Row],[Total electric cost]],"")</f>
        <v/>
      </c>
      <c r="T57" s="111"/>
      <c r="U57" s="85" t="str">
        <f>_xlfn.IFERROR(Table4[[#This Row],[Total Energy Cost]]/Table4[[#This Row],[Monthly Flow]],"")</f>
        <v/>
      </c>
      <c r="V57" s="85" t="str">
        <f>_xlfn.IFERROR(Table4[[#This Row],[Total Energy Cost]]/Table4[[#This Row],[Total BOD removed]],"")</f>
        <v/>
      </c>
      <c r="W57" s="116"/>
      <c r="X57" s="86" t="str">
        <f>IF('Process Data Entry'!G59="","",'Process Data Entry'!G59)</f>
        <v/>
      </c>
      <c r="Y57" s="86" t="str">
        <f>IF('Process Data Entry'!H59="","",'Process Data Entry'!H59)</f>
        <v/>
      </c>
      <c r="Z57" s="86">
        <f>IF('Process Data Entry'!I59="",0,'Process Data Entry'!I59)</f>
        <v>0</v>
      </c>
      <c r="AA57" s="86" t="str">
        <f>IF('Process Data Entry'!J59="","",'Process Data Entry'!J59)</f>
        <v/>
      </c>
      <c r="AB57" s="86" t="str">
        <f>IF('Process Data Entry'!K59="","",'Process Data Entry'!K59)</f>
        <v/>
      </c>
      <c r="AC57" s="86" t="str">
        <f>IF('Process Data Entry'!L59="","",'Process Data Entry'!L59)</f>
        <v/>
      </c>
      <c r="AD57" s="87" t="str">
        <f t="shared" si="3"/>
        <v/>
      </c>
      <c r="AE57" s="87" t="str">
        <f t="shared" si="4"/>
        <v/>
      </c>
      <c r="AF57" s="150" t="str">
        <f>IF('Process Data Entry'!M59="","",'Process Data Entry'!M59)</f>
        <v/>
      </c>
      <c r="AG57" s="150" t="str">
        <f>IF('Process Data Entry'!N59="","",'Process Data Entry'!N59)</f>
        <v/>
      </c>
      <c r="AH57" s="81" t="str">
        <f t="shared" si="5"/>
        <v/>
      </c>
    </row>
    <row r="58" spans="1:34" ht="15">
      <c r="A58" s="78">
        <v>5</v>
      </c>
      <c r="B58" s="88">
        <f>'Energy Data Entry'!B79</f>
        <v>44593</v>
      </c>
      <c r="C58" s="80" t="str">
        <f>IF(OR('Process Data Entry'!C60="",'Process Data Entry'!C60=0),"",'Process Data Entry'!C60)</f>
        <v/>
      </c>
      <c r="D58" s="81" t="str">
        <f>IF(Table4[[#This Row],[Avg Daily Flow]]="","",_xlfn.DAYS(EOMONTH(B58,0),EOMONTH(B58,-1))*C58)</f>
        <v/>
      </c>
      <c r="E58" s="81" t="str">
        <f>IF('Process Data Entry'!F60="","",'Process Data Entry'!F60)</f>
        <v/>
      </c>
      <c r="F58" s="82" t="str">
        <f>IF(Table4[[#This Row],[BOD removed]]="","",Table4[[#This Row],[BOD removed]]*_xlfn.DAYS(EOMONTH(Table4[[#This Row],[Column2]],0),EOMONTH(Table4[[#This Row],[Column2]],-1)))</f>
        <v/>
      </c>
      <c r="G58" s="83" t="str">
        <f>IF(SUM('Energy Data Entry'!C79,'Energy Data Entry'!H79,'Energy Data Entry'!M79,'Energy Data Entry'!R79,'Energy Data Entry'!W79)=0,"",SUM('Energy Data Entry'!C79,'Energy Data Entry'!H79,'Energy Data Entry'!M79,'Energy Data Entry'!R79,'Energy Data Entry'!W79))</f>
        <v/>
      </c>
      <c r="H58" s="83">
        <f>'Energy Data Entry'!AG79</f>
        <v>0</v>
      </c>
      <c r="I58" s="83" t="str">
        <f>IF(Table4[[#This Row],[Electric kWh usage]]="","",Table4[[#This Row],[Gas kWh usage]]+Table4[[#This Row],[Electric kWh usage]])</f>
        <v/>
      </c>
      <c r="J58" s="82" t="str">
        <f>IF(OR(Table4[[#This Row],[Electric kWh usage]]="",Table4[[#This Row],[Monthly Flow]]=""),"",(Table4[[#This Row],[Electric kWh usage]]+Table4[[#This Row],[Gas kWh usage]])/Table4[[#This Row],[Monthly Flow]])</f>
        <v/>
      </c>
      <c r="K58" s="84" t="str">
        <f>_xlfn.IFERROR(IF(Table4[[#This Row],[Electric kWh usage]]="","",(Table4[[#This Row],[Electric kWh usage]]+Table4[[#This Row],[Gas kWh usage]])/Table4[[#This Row],[Total BOD removed]]),"")</f>
        <v/>
      </c>
      <c r="L58" s="83" t="str">
        <f>IF('Energy Data Entry'!E79+'Energy Data Entry'!J79+'Energy Data Entry'!O79+'Energy Data Entry'!T79+'Energy Data Entry'!Y79=0,"",'Energy Data Entry'!E79+'Energy Data Entry'!J79+'Energy Data Entry'!O79+'Energy Data Entry'!T79+'Energy Data Entry'!Y79)</f>
        <v/>
      </c>
      <c r="M58" s="83" t="str">
        <f>IF('Energy Data Entry'!F79+'Energy Data Entry'!K79+'Energy Data Entry'!P79++'Energy Data Entry'!U79+'Energy Data Entry'!Z79=0,"",'Energy Data Entry'!F79+'Energy Data Entry'!K79+'Energy Data Entry'!P79++'Energy Data Entry'!U79+'Energy Data Entry'!Z79)</f>
        <v/>
      </c>
      <c r="N58" s="85" t="str">
        <f>IF('Energy Data Entry'!G79+'Energy Data Entry'!L79+'Energy Data Entry'!Q79+'Energy Data Entry'!V79+'Energy Data Entry'!AA79=0,"",'Energy Data Entry'!G79+'Energy Data Entry'!L79+'Energy Data Entry'!Q79+'Energy Data Entry'!V79+'Energy Data Entry'!AA79)</f>
        <v/>
      </c>
      <c r="O58" s="85" t="str">
        <f>IF('Energy Data Entry'!D79+'Energy Data Entry'!I79+'Energy Data Entry'!N79+'Energy Data Entry'!S79+'Energy Data Entry'!X79=0,"",'Energy Data Entry'!D79+'Energy Data Entry'!I79+'Energy Data Entry'!N79+'Energy Data Entry'!S79+'Energy Data Entry'!X79)</f>
        <v/>
      </c>
      <c r="P58" s="412">
        <f>'Energy Data Entry'!AF79</f>
        <v>0</v>
      </c>
      <c r="Q58" s="151" t="str">
        <f>_xlfn.IFERROR(Table4[[#This Row],[Total electric cost]]/Table4[[#This Row],[Electric kWh usage]],"")</f>
        <v/>
      </c>
      <c r="R58" s="151" t="str">
        <f>_xlfn.IFERROR(Table4[[#This Row],[Electric Demand Cost]]/Table4[[#This Row],[Total Electric Demand (Billed)]],_xlfn.IFERROR(Table4[[#This Row],[Electric Demand Cost]]/Table4[[#This Row],[Total Electric Demand (Actual)]],""))</f>
        <v/>
      </c>
      <c r="S58" s="85" t="str">
        <f>_xlfn.IFERROR(Table4[[#This Row],[Total Gas cost]]+Table4[[#This Row],[Total electric cost]],"")</f>
        <v/>
      </c>
      <c r="T58" s="111"/>
      <c r="U58" s="85" t="str">
        <f>_xlfn.IFERROR(Table4[[#This Row],[Total Energy Cost]]/Table4[[#This Row],[Monthly Flow]],"")</f>
        <v/>
      </c>
      <c r="V58" s="85" t="str">
        <f>_xlfn.IFERROR(Table4[[#This Row],[Total Energy Cost]]/Table4[[#This Row],[Total BOD removed]],"")</f>
        <v/>
      </c>
      <c r="W58" s="116"/>
      <c r="X58" s="86" t="str">
        <f>IF('Process Data Entry'!G60="","",'Process Data Entry'!G60)</f>
        <v/>
      </c>
      <c r="Y58" s="86" t="str">
        <f>IF('Process Data Entry'!H60="","",'Process Data Entry'!H60)</f>
        <v/>
      </c>
      <c r="Z58" s="86">
        <f>IF('Process Data Entry'!I60="",0,'Process Data Entry'!I60)</f>
        <v>0</v>
      </c>
      <c r="AA58" s="86" t="str">
        <f>IF('Process Data Entry'!J60="","",'Process Data Entry'!J60)</f>
        <v/>
      </c>
      <c r="AB58" s="86" t="str">
        <f>IF('Process Data Entry'!K60="","",'Process Data Entry'!K60)</f>
        <v/>
      </c>
      <c r="AC58" s="86" t="str">
        <f>IF('Process Data Entry'!L60="","",'Process Data Entry'!L60)</f>
        <v/>
      </c>
      <c r="AD58" s="87" t="str">
        <f t="shared" si="3"/>
        <v/>
      </c>
      <c r="AE58" s="87" t="str">
        <f t="shared" si="4"/>
        <v/>
      </c>
      <c r="AF58" s="150" t="str">
        <f>IF('Process Data Entry'!M60="","",'Process Data Entry'!M60)</f>
        <v/>
      </c>
      <c r="AG58" s="150" t="str">
        <f>IF('Process Data Entry'!N60="","",'Process Data Entry'!N60)</f>
        <v/>
      </c>
      <c r="AH58" s="81" t="str">
        <f t="shared" si="5"/>
        <v/>
      </c>
    </row>
    <row r="59" spans="1:34" ht="15">
      <c r="A59" s="78">
        <v>5</v>
      </c>
      <c r="B59" s="88">
        <f>'Energy Data Entry'!B80</f>
        <v>44621</v>
      </c>
      <c r="C59" s="80" t="str">
        <f>IF(OR('Process Data Entry'!C61="",'Process Data Entry'!C61=0),"",'Process Data Entry'!C61)</f>
        <v/>
      </c>
      <c r="D59" s="81" t="str">
        <f>IF(Table4[[#This Row],[Avg Daily Flow]]="","",_xlfn.DAYS(EOMONTH(B59,0),EOMONTH(B59,-1))*C59)</f>
        <v/>
      </c>
      <c r="E59" s="81" t="str">
        <f>IF('Process Data Entry'!F61="","",'Process Data Entry'!F61)</f>
        <v/>
      </c>
      <c r="F59" s="82" t="str">
        <f>IF(Table4[[#This Row],[BOD removed]]="","",Table4[[#This Row],[BOD removed]]*_xlfn.DAYS(EOMONTH(Table4[[#This Row],[Column2]],0),EOMONTH(Table4[[#This Row],[Column2]],-1)))</f>
        <v/>
      </c>
      <c r="G59" s="83" t="str">
        <f>IF(SUM('Energy Data Entry'!C80,'Energy Data Entry'!H80,'Energy Data Entry'!M80,'Energy Data Entry'!R80,'Energy Data Entry'!W80)=0,"",SUM('Energy Data Entry'!C80,'Energy Data Entry'!H80,'Energy Data Entry'!M80,'Energy Data Entry'!R80,'Energy Data Entry'!W80))</f>
        <v/>
      </c>
      <c r="H59" s="83">
        <f>'Energy Data Entry'!AG80</f>
        <v>0</v>
      </c>
      <c r="I59" s="83" t="str">
        <f>IF(Table4[[#This Row],[Electric kWh usage]]="","",Table4[[#This Row],[Gas kWh usage]]+Table4[[#This Row],[Electric kWh usage]])</f>
        <v/>
      </c>
      <c r="J59" s="82" t="str">
        <f>IF(OR(Table4[[#This Row],[Electric kWh usage]]="",Table4[[#This Row],[Monthly Flow]]=""),"",(Table4[[#This Row],[Electric kWh usage]]+Table4[[#This Row],[Gas kWh usage]])/Table4[[#This Row],[Monthly Flow]])</f>
        <v/>
      </c>
      <c r="K59" s="84" t="str">
        <f>_xlfn.IFERROR(IF(Table4[[#This Row],[Electric kWh usage]]="","",(Table4[[#This Row],[Electric kWh usage]]+Table4[[#This Row],[Gas kWh usage]])/Table4[[#This Row],[Total BOD removed]]),"")</f>
        <v/>
      </c>
      <c r="L59" s="83" t="str">
        <f>IF('Energy Data Entry'!E80+'Energy Data Entry'!J80+'Energy Data Entry'!O80+'Energy Data Entry'!T80+'Energy Data Entry'!Y80=0,"",'Energy Data Entry'!E80+'Energy Data Entry'!J80+'Energy Data Entry'!O80+'Energy Data Entry'!T80+'Energy Data Entry'!Y80)</f>
        <v/>
      </c>
      <c r="M59" s="83" t="str">
        <f>IF('Energy Data Entry'!F80+'Energy Data Entry'!K80+'Energy Data Entry'!P80++'Energy Data Entry'!U80+'Energy Data Entry'!Z80=0,"",'Energy Data Entry'!F80+'Energy Data Entry'!K80+'Energy Data Entry'!P80++'Energy Data Entry'!U80+'Energy Data Entry'!Z80)</f>
        <v/>
      </c>
      <c r="N59" s="85" t="str">
        <f>IF('Energy Data Entry'!G80+'Energy Data Entry'!L80+'Energy Data Entry'!Q80+'Energy Data Entry'!V80+'Energy Data Entry'!AA80=0,"",'Energy Data Entry'!G80+'Energy Data Entry'!L80+'Energy Data Entry'!Q80+'Energy Data Entry'!V80+'Energy Data Entry'!AA80)</f>
        <v/>
      </c>
      <c r="O59" s="85" t="str">
        <f>IF('Energy Data Entry'!D80+'Energy Data Entry'!I80+'Energy Data Entry'!N80+'Energy Data Entry'!S80+'Energy Data Entry'!X80=0,"",'Energy Data Entry'!D80+'Energy Data Entry'!I80+'Energy Data Entry'!N80+'Energy Data Entry'!S80+'Energy Data Entry'!X80)</f>
        <v/>
      </c>
      <c r="P59" s="412">
        <f>'Energy Data Entry'!AF80</f>
        <v>0</v>
      </c>
      <c r="Q59" s="151" t="str">
        <f>_xlfn.IFERROR(Table4[[#This Row],[Total electric cost]]/Table4[[#This Row],[Electric kWh usage]],"")</f>
        <v/>
      </c>
      <c r="R59" s="151" t="str">
        <f>_xlfn.IFERROR(Table4[[#This Row],[Electric Demand Cost]]/Table4[[#This Row],[Total Electric Demand (Billed)]],_xlfn.IFERROR(Table4[[#This Row],[Electric Demand Cost]]/Table4[[#This Row],[Total Electric Demand (Actual)]],""))</f>
        <v/>
      </c>
      <c r="S59" s="85" t="str">
        <f>_xlfn.IFERROR(Table4[[#This Row],[Total Gas cost]]+Table4[[#This Row],[Total electric cost]],"")</f>
        <v/>
      </c>
      <c r="T59" s="111"/>
      <c r="U59" s="85" t="str">
        <f>_xlfn.IFERROR(Table4[[#This Row],[Total Energy Cost]]/Table4[[#This Row],[Monthly Flow]],"")</f>
        <v/>
      </c>
      <c r="V59" s="85" t="str">
        <f>_xlfn.IFERROR(Table4[[#This Row],[Total Energy Cost]]/Table4[[#This Row],[Total BOD removed]],"")</f>
        <v/>
      </c>
      <c r="W59" s="116"/>
      <c r="X59" s="86" t="str">
        <f>IF('Process Data Entry'!G61="","",'Process Data Entry'!G61)</f>
        <v/>
      </c>
      <c r="Y59" s="86" t="str">
        <f>IF('Process Data Entry'!H61="","",'Process Data Entry'!H61)</f>
        <v/>
      </c>
      <c r="Z59" s="86">
        <f>IF('Process Data Entry'!I61="",0,'Process Data Entry'!I61)</f>
        <v>0</v>
      </c>
      <c r="AA59" s="86" t="str">
        <f>IF('Process Data Entry'!J61="","",'Process Data Entry'!J61)</f>
        <v/>
      </c>
      <c r="AB59" s="86" t="str">
        <f>IF('Process Data Entry'!K61="","",'Process Data Entry'!K61)</f>
        <v/>
      </c>
      <c r="AC59" s="86" t="str">
        <f>IF('Process Data Entry'!L61="","",'Process Data Entry'!L61)</f>
        <v/>
      </c>
      <c r="AD59" s="87" t="str">
        <f t="shared" si="3"/>
        <v/>
      </c>
      <c r="AE59" s="87" t="str">
        <f t="shared" si="4"/>
        <v/>
      </c>
      <c r="AF59" s="150" t="str">
        <f>IF('Process Data Entry'!M61="","",'Process Data Entry'!M61)</f>
        <v/>
      </c>
      <c r="AG59" s="150" t="str">
        <f>IF('Process Data Entry'!N61="","",'Process Data Entry'!N61)</f>
        <v/>
      </c>
      <c r="AH59" s="81" t="str">
        <f t="shared" si="5"/>
        <v/>
      </c>
    </row>
    <row r="60" spans="1:34" ht="15">
      <c r="A60" s="78">
        <v>5</v>
      </c>
      <c r="B60" s="88">
        <f>'Energy Data Entry'!B81</f>
        <v>44652</v>
      </c>
      <c r="C60" s="80" t="str">
        <f>IF(OR('Process Data Entry'!C62="",'Process Data Entry'!C62=0),"",'Process Data Entry'!C62)</f>
        <v/>
      </c>
      <c r="D60" s="81" t="str">
        <f>IF(Table4[[#This Row],[Avg Daily Flow]]="","",_xlfn.DAYS(EOMONTH(B60,0),EOMONTH(B60,-1))*C60)</f>
        <v/>
      </c>
      <c r="E60" s="81" t="str">
        <f>IF('Process Data Entry'!F62="","",'Process Data Entry'!F62)</f>
        <v/>
      </c>
      <c r="F60" s="82" t="str">
        <f>IF(Table4[[#This Row],[BOD removed]]="","",Table4[[#This Row],[BOD removed]]*_xlfn.DAYS(EOMONTH(Table4[[#This Row],[Column2]],0),EOMONTH(Table4[[#This Row],[Column2]],-1)))</f>
        <v/>
      </c>
      <c r="G60" s="83" t="str">
        <f>IF(SUM('Energy Data Entry'!C81,'Energy Data Entry'!H81,'Energy Data Entry'!M81,'Energy Data Entry'!R81,'Energy Data Entry'!W81)=0,"",SUM('Energy Data Entry'!C81,'Energy Data Entry'!H81,'Energy Data Entry'!M81,'Energy Data Entry'!R81,'Energy Data Entry'!W81))</f>
        <v/>
      </c>
      <c r="H60" s="83">
        <f>'Energy Data Entry'!AG81</f>
        <v>0</v>
      </c>
      <c r="I60" s="83" t="str">
        <f>IF(Table4[[#This Row],[Electric kWh usage]]="","",Table4[[#This Row],[Gas kWh usage]]+Table4[[#This Row],[Electric kWh usage]])</f>
        <v/>
      </c>
      <c r="J60" s="82" t="str">
        <f>IF(OR(Table4[[#This Row],[Electric kWh usage]]="",Table4[[#This Row],[Monthly Flow]]=""),"",(Table4[[#This Row],[Electric kWh usage]]+Table4[[#This Row],[Gas kWh usage]])/Table4[[#This Row],[Monthly Flow]])</f>
        <v/>
      </c>
      <c r="K60" s="84" t="str">
        <f>_xlfn.IFERROR(IF(Table4[[#This Row],[Electric kWh usage]]="","",(Table4[[#This Row],[Electric kWh usage]]+Table4[[#This Row],[Gas kWh usage]])/Table4[[#This Row],[Total BOD removed]]),"")</f>
        <v/>
      </c>
      <c r="L60" s="83" t="str">
        <f>IF('Energy Data Entry'!E81+'Energy Data Entry'!J81+'Energy Data Entry'!O81+'Energy Data Entry'!T81+'Energy Data Entry'!Y81=0,"",'Energy Data Entry'!E81+'Energy Data Entry'!J81+'Energy Data Entry'!O81+'Energy Data Entry'!T81+'Energy Data Entry'!Y81)</f>
        <v/>
      </c>
      <c r="M60" s="83" t="str">
        <f>IF('Energy Data Entry'!F81+'Energy Data Entry'!K81+'Energy Data Entry'!P81++'Energy Data Entry'!U81+'Energy Data Entry'!Z81=0,"",'Energy Data Entry'!F81+'Energy Data Entry'!K81+'Energy Data Entry'!P81++'Energy Data Entry'!U81+'Energy Data Entry'!Z81)</f>
        <v/>
      </c>
      <c r="N60" s="85" t="str">
        <f>IF('Energy Data Entry'!G81+'Energy Data Entry'!L81+'Energy Data Entry'!Q81+'Energy Data Entry'!V81+'Energy Data Entry'!AA81=0,"",'Energy Data Entry'!G81+'Energy Data Entry'!L81+'Energy Data Entry'!Q81+'Energy Data Entry'!V81+'Energy Data Entry'!AA81)</f>
        <v/>
      </c>
      <c r="O60" s="85" t="str">
        <f>IF('Energy Data Entry'!D81+'Energy Data Entry'!I81+'Energy Data Entry'!N81+'Energy Data Entry'!S81+'Energy Data Entry'!X81=0,"",'Energy Data Entry'!D81+'Energy Data Entry'!I81+'Energy Data Entry'!N81+'Energy Data Entry'!S81+'Energy Data Entry'!X81)</f>
        <v/>
      </c>
      <c r="P60" s="412">
        <f>'Energy Data Entry'!AF81</f>
        <v>0</v>
      </c>
      <c r="Q60" s="151" t="str">
        <f>_xlfn.IFERROR(Table4[[#This Row],[Total electric cost]]/Table4[[#This Row],[Electric kWh usage]],"")</f>
        <v/>
      </c>
      <c r="R60" s="151" t="str">
        <f>_xlfn.IFERROR(Table4[[#This Row],[Electric Demand Cost]]/Table4[[#This Row],[Total Electric Demand (Billed)]],_xlfn.IFERROR(Table4[[#This Row],[Electric Demand Cost]]/Table4[[#This Row],[Total Electric Demand (Actual)]],""))</f>
        <v/>
      </c>
      <c r="S60" s="85" t="str">
        <f>_xlfn.IFERROR(Table4[[#This Row],[Total Gas cost]]+Table4[[#This Row],[Total electric cost]],"")</f>
        <v/>
      </c>
      <c r="T60" s="111"/>
      <c r="U60" s="85" t="str">
        <f>_xlfn.IFERROR(Table4[[#This Row],[Total Energy Cost]]/Table4[[#This Row],[Monthly Flow]],"")</f>
        <v/>
      </c>
      <c r="V60" s="85" t="str">
        <f>_xlfn.IFERROR(Table4[[#This Row],[Total Energy Cost]]/Table4[[#This Row],[Total BOD removed]],"")</f>
        <v/>
      </c>
      <c r="W60" s="116"/>
      <c r="X60" s="86" t="str">
        <f>IF('Process Data Entry'!G62="","",'Process Data Entry'!G62)</f>
        <v/>
      </c>
      <c r="Y60" s="86" t="str">
        <f>IF('Process Data Entry'!H62="","",'Process Data Entry'!H62)</f>
        <v/>
      </c>
      <c r="Z60" s="86">
        <f>IF('Process Data Entry'!I62="",0,'Process Data Entry'!I62)</f>
        <v>0</v>
      </c>
      <c r="AA60" s="86" t="str">
        <f>IF('Process Data Entry'!J62="","",'Process Data Entry'!J62)</f>
        <v/>
      </c>
      <c r="AB60" s="86" t="str">
        <f>IF('Process Data Entry'!K62="","",'Process Data Entry'!K62)</f>
        <v/>
      </c>
      <c r="AC60" s="86" t="str">
        <f>IF('Process Data Entry'!L62="","",'Process Data Entry'!L62)</f>
        <v/>
      </c>
      <c r="AD60" s="87" t="str">
        <f t="shared" si="3"/>
        <v/>
      </c>
      <c r="AE60" s="87" t="str">
        <f t="shared" si="4"/>
        <v/>
      </c>
      <c r="AF60" s="150" t="str">
        <f>IF('Process Data Entry'!M62="","",'Process Data Entry'!M62)</f>
        <v/>
      </c>
      <c r="AG60" s="150" t="str">
        <f>IF('Process Data Entry'!N62="","",'Process Data Entry'!N62)</f>
        <v/>
      </c>
      <c r="AH60" s="81" t="str">
        <f t="shared" si="5"/>
        <v/>
      </c>
    </row>
    <row r="61" spans="1:34" ht="15">
      <c r="A61" s="78">
        <v>5</v>
      </c>
      <c r="B61" s="88">
        <f>'Energy Data Entry'!B82</f>
        <v>44682</v>
      </c>
      <c r="C61" s="80" t="str">
        <f>IF(OR('Process Data Entry'!C63="",'Process Data Entry'!C63=0),"",'Process Data Entry'!C63)</f>
        <v/>
      </c>
      <c r="D61" s="81" t="str">
        <f>IF(Table4[[#This Row],[Avg Daily Flow]]="","",_xlfn.DAYS(EOMONTH(B61,0),EOMONTH(B61,-1))*C61)</f>
        <v/>
      </c>
      <c r="E61" s="81" t="str">
        <f>IF('Process Data Entry'!F63="","",'Process Data Entry'!F63)</f>
        <v/>
      </c>
      <c r="F61" s="82" t="str">
        <f>IF(Table4[[#This Row],[BOD removed]]="","",Table4[[#This Row],[BOD removed]]*_xlfn.DAYS(EOMONTH(Table4[[#This Row],[Column2]],0),EOMONTH(Table4[[#This Row],[Column2]],-1)))</f>
        <v/>
      </c>
      <c r="G61" s="83" t="str">
        <f>IF(SUM('Energy Data Entry'!C82,'Energy Data Entry'!H82,'Energy Data Entry'!M82,'Energy Data Entry'!R82,'Energy Data Entry'!W82)=0,"",SUM('Energy Data Entry'!C82,'Energy Data Entry'!H82,'Energy Data Entry'!M82,'Energy Data Entry'!R82,'Energy Data Entry'!W82))</f>
        <v/>
      </c>
      <c r="H61" s="83">
        <f>'Energy Data Entry'!AG82</f>
        <v>0</v>
      </c>
      <c r="I61" s="83" t="str">
        <f>IF(Table4[[#This Row],[Electric kWh usage]]="","",Table4[[#This Row],[Gas kWh usage]]+Table4[[#This Row],[Electric kWh usage]])</f>
        <v/>
      </c>
      <c r="J61" s="82" t="str">
        <f>IF(OR(Table4[[#This Row],[Electric kWh usage]]="",Table4[[#This Row],[Monthly Flow]]=""),"",(Table4[[#This Row],[Electric kWh usage]]+Table4[[#This Row],[Gas kWh usage]])/Table4[[#This Row],[Monthly Flow]])</f>
        <v/>
      </c>
      <c r="K61" s="84" t="str">
        <f>_xlfn.IFERROR(IF(Table4[[#This Row],[Electric kWh usage]]="","",(Table4[[#This Row],[Electric kWh usage]]+Table4[[#This Row],[Gas kWh usage]])/Table4[[#This Row],[Total BOD removed]]),"")</f>
        <v/>
      </c>
      <c r="L61" s="83" t="str">
        <f>IF('Energy Data Entry'!E82+'Energy Data Entry'!J82+'Energy Data Entry'!O82+'Energy Data Entry'!T82+'Energy Data Entry'!Y82=0,"",'Energy Data Entry'!E82+'Energy Data Entry'!J82+'Energy Data Entry'!O82+'Energy Data Entry'!T82+'Energy Data Entry'!Y82)</f>
        <v/>
      </c>
      <c r="M61" s="83" t="str">
        <f>IF('Energy Data Entry'!F82+'Energy Data Entry'!K82+'Energy Data Entry'!P82++'Energy Data Entry'!U82+'Energy Data Entry'!Z82=0,"",'Energy Data Entry'!F82+'Energy Data Entry'!K82+'Energy Data Entry'!P82++'Energy Data Entry'!U82+'Energy Data Entry'!Z82)</f>
        <v/>
      </c>
      <c r="N61" s="85" t="str">
        <f>IF('Energy Data Entry'!G82+'Energy Data Entry'!L82+'Energy Data Entry'!Q82+'Energy Data Entry'!V82+'Energy Data Entry'!AA82=0,"",'Energy Data Entry'!G82+'Energy Data Entry'!L82+'Energy Data Entry'!Q82+'Energy Data Entry'!V82+'Energy Data Entry'!AA82)</f>
        <v/>
      </c>
      <c r="O61" s="85" t="str">
        <f>IF('Energy Data Entry'!D82+'Energy Data Entry'!I82+'Energy Data Entry'!N82+'Energy Data Entry'!S82+'Energy Data Entry'!X82=0,"",'Energy Data Entry'!D82+'Energy Data Entry'!I82+'Energy Data Entry'!N82+'Energy Data Entry'!S82+'Energy Data Entry'!X82)</f>
        <v/>
      </c>
      <c r="P61" s="412">
        <f>'Energy Data Entry'!AF82</f>
        <v>0</v>
      </c>
      <c r="Q61" s="151" t="str">
        <f>_xlfn.IFERROR(Table4[[#This Row],[Total electric cost]]/Table4[[#This Row],[Electric kWh usage]],"")</f>
        <v/>
      </c>
      <c r="R61" s="151" t="str">
        <f>_xlfn.IFERROR(Table4[[#This Row],[Electric Demand Cost]]/Table4[[#This Row],[Total Electric Demand (Billed)]],_xlfn.IFERROR(Table4[[#This Row],[Electric Demand Cost]]/Table4[[#This Row],[Total Electric Demand (Actual)]],""))</f>
        <v/>
      </c>
      <c r="S61" s="85" t="str">
        <f>_xlfn.IFERROR(Table4[[#This Row],[Total Gas cost]]+Table4[[#This Row],[Total electric cost]],"")</f>
        <v/>
      </c>
      <c r="T61" s="111"/>
      <c r="U61" s="85" t="str">
        <f>_xlfn.IFERROR(Table4[[#This Row],[Total Energy Cost]]/Table4[[#This Row],[Monthly Flow]],"")</f>
        <v/>
      </c>
      <c r="V61" s="85" t="str">
        <f>_xlfn.IFERROR(Table4[[#This Row],[Total Energy Cost]]/Table4[[#This Row],[Total BOD removed]],"")</f>
        <v/>
      </c>
      <c r="W61" s="116"/>
      <c r="X61" s="86" t="str">
        <f>IF('Process Data Entry'!G63="","",'Process Data Entry'!G63)</f>
        <v/>
      </c>
      <c r="Y61" s="86" t="str">
        <f>IF('Process Data Entry'!H63="","",'Process Data Entry'!H63)</f>
        <v/>
      </c>
      <c r="Z61" s="86">
        <f>IF('Process Data Entry'!I63="",0,'Process Data Entry'!I63)</f>
        <v>0</v>
      </c>
      <c r="AA61" s="86" t="str">
        <f>IF('Process Data Entry'!J63="","",'Process Data Entry'!J63)</f>
        <v/>
      </c>
      <c r="AB61" s="86" t="str">
        <f>IF('Process Data Entry'!K63="","",'Process Data Entry'!K63)</f>
        <v/>
      </c>
      <c r="AC61" s="86" t="str">
        <f>IF('Process Data Entry'!L63="","",'Process Data Entry'!L63)</f>
        <v/>
      </c>
      <c r="AD61" s="87" t="str">
        <f t="shared" si="3"/>
        <v/>
      </c>
      <c r="AE61" s="87" t="str">
        <f t="shared" si="4"/>
        <v/>
      </c>
      <c r="AF61" s="150" t="str">
        <f>IF('Process Data Entry'!M63="","",'Process Data Entry'!M63)</f>
        <v/>
      </c>
      <c r="AG61" s="150" t="str">
        <f>IF('Process Data Entry'!N63="","",'Process Data Entry'!N63)</f>
        <v/>
      </c>
      <c r="AH61" s="81" t="str">
        <f t="shared" si="5"/>
        <v/>
      </c>
    </row>
    <row r="62" spans="1:34" ht="15">
      <c r="A62" s="78">
        <v>5</v>
      </c>
      <c r="B62" s="88">
        <f>'Energy Data Entry'!B83</f>
        <v>44713</v>
      </c>
      <c r="C62" s="80" t="str">
        <f>IF(OR('Process Data Entry'!C64="",'Process Data Entry'!C64=0),"",'Process Data Entry'!C64)</f>
        <v/>
      </c>
      <c r="D62" s="81" t="str">
        <f>IF(Table4[[#This Row],[Avg Daily Flow]]="","",_xlfn.DAYS(EOMONTH(B62,0),EOMONTH(B62,-1))*C62)</f>
        <v/>
      </c>
      <c r="E62" s="81" t="str">
        <f>IF('Process Data Entry'!F64="","",'Process Data Entry'!F64)</f>
        <v/>
      </c>
      <c r="F62" s="82" t="str">
        <f>IF(Table4[[#This Row],[BOD removed]]="","",Table4[[#This Row],[BOD removed]]*_xlfn.DAYS(EOMONTH(Table4[[#This Row],[Column2]],0),EOMONTH(Table4[[#This Row],[Column2]],-1)))</f>
        <v/>
      </c>
      <c r="G62" s="83" t="str">
        <f>IF(SUM('Energy Data Entry'!C83,'Energy Data Entry'!H83,'Energy Data Entry'!M83,'Energy Data Entry'!R83,'Energy Data Entry'!W83)=0,"",SUM('Energy Data Entry'!C83,'Energy Data Entry'!H83,'Energy Data Entry'!M83,'Energy Data Entry'!R83,'Energy Data Entry'!W83))</f>
        <v/>
      </c>
      <c r="H62" s="83">
        <f>'Energy Data Entry'!AG83</f>
        <v>0</v>
      </c>
      <c r="I62" s="83" t="str">
        <f>IF(Table4[[#This Row],[Electric kWh usage]]="","",Table4[[#This Row],[Gas kWh usage]]+Table4[[#This Row],[Electric kWh usage]])</f>
        <v/>
      </c>
      <c r="J62" s="82" t="str">
        <f>IF(OR(Table4[[#This Row],[Electric kWh usage]]="",Table4[[#This Row],[Monthly Flow]]=""),"",(Table4[[#This Row],[Electric kWh usage]]+Table4[[#This Row],[Gas kWh usage]])/Table4[[#This Row],[Monthly Flow]])</f>
        <v/>
      </c>
      <c r="K62" s="84" t="str">
        <f>_xlfn.IFERROR(IF(Table4[[#This Row],[Electric kWh usage]]="","",(Table4[[#This Row],[Electric kWh usage]]+Table4[[#This Row],[Gas kWh usage]])/Table4[[#This Row],[Total BOD removed]]),"")</f>
        <v/>
      </c>
      <c r="L62" s="83" t="str">
        <f>IF('Energy Data Entry'!E83+'Energy Data Entry'!J83+'Energy Data Entry'!O83+'Energy Data Entry'!T83+'Energy Data Entry'!Y83=0,"",'Energy Data Entry'!E83+'Energy Data Entry'!J83+'Energy Data Entry'!O83+'Energy Data Entry'!T83+'Energy Data Entry'!Y83)</f>
        <v/>
      </c>
      <c r="M62" s="83" t="str">
        <f>IF('Energy Data Entry'!F83+'Energy Data Entry'!K83+'Energy Data Entry'!P83++'Energy Data Entry'!U83+'Energy Data Entry'!Z83=0,"",'Energy Data Entry'!F83+'Energy Data Entry'!K83+'Energy Data Entry'!P83++'Energy Data Entry'!U83+'Energy Data Entry'!Z83)</f>
        <v/>
      </c>
      <c r="N62" s="85" t="str">
        <f>IF('Energy Data Entry'!G83+'Energy Data Entry'!L83+'Energy Data Entry'!Q83+'Energy Data Entry'!V83+'Energy Data Entry'!AA83=0,"",'Energy Data Entry'!G83+'Energy Data Entry'!L83+'Energy Data Entry'!Q83+'Energy Data Entry'!V83+'Energy Data Entry'!AA83)</f>
        <v/>
      </c>
      <c r="O62" s="85" t="str">
        <f>IF('Energy Data Entry'!D83+'Energy Data Entry'!I83+'Energy Data Entry'!N83+'Energy Data Entry'!S83+'Energy Data Entry'!X83=0,"",'Energy Data Entry'!D83+'Energy Data Entry'!I83+'Energy Data Entry'!N83+'Energy Data Entry'!S83+'Energy Data Entry'!X83)</f>
        <v/>
      </c>
      <c r="P62" s="412">
        <f>'Energy Data Entry'!AF83</f>
        <v>0</v>
      </c>
      <c r="Q62" s="151" t="str">
        <f>_xlfn.IFERROR(Table4[[#This Row],[Total electric cost]]/Table4[[#This Row],[Electric kWh usage]],"")</f>
        <v/>
      </c>
      <c r="R62" s="151" t="str">
        <f>_xlfn.IFERROR(Table4[[#This Row],[Electric Demand Cost]]/Table4[[#This Row],[Total Electric Demand (Billed)]],_xlfn.IFERROR(Table4[[#This Row],[Electric Demand Cost]]/Table4[[#This Row],[Total Electric Demand (Actual)]],""))</f>
        <v/>
      </c>
      <c r="S62" s="85" t="str">
        <f>_xlfn.IFERROR(Table4[[#This Row],[Total Gas cost]]+Table4[[#This Row],[Total electric cost]],"")</f>
        <v/>
      </c>
      <c r="T62" s="111"/>
      <c r="U62" s="85" t="str">
        <f>_xlfn.IFERROR(Table4[[#This Row],[Total Energy Cost]]/Table4[[#This Row],[Monthly Flow]],"")</f>
        <v/>
      </c>
      <c r="V62" s="85" t="str">
        <f>_xlfn.IFERROR(Table4[[#This Row],[Total Energy Cost]]/Table4[[#This Row],[Total BOD removed]],"")</f>
        <v/>
      </c>
      <c r="W62" s="116"/>
      <c r="X62" s="86" t="str">
        <f>IF('Process Data Entry'!G64="","",'Process Data Entry'!G64)</f>
        <v/>
      </c>
      <c r="Y62" s="86" t="str">
        <f>IF('Process Data Entry'!H64="","",'Process Data Entry'!H64)</f>
        <v/>
      </c>
      <c r="Z62" s="86">
        <f>IF('Process Data Entry'!I64="",0,'Process Data Entry'!I64)</f>
        <v>0</v>
      </c>
      <c r="AA62" s="86" t="str">
        <f>IF('Process Data Entry'!J64="","",'Process Data Entry'!J64)</f>
        <v/>
      </c>
      <c r="AB62" s="86" t="str">
        <f>IF('Process Data Entry'!K64="","",'Process Data Entry'!K64)</f>
        <v/>
      </c>
      <c r="AC62" s="86" t="str">
        <f>IF('Process Data Entry'!L64="","",'Process Data Entry'!L64)</f>
        <v/>
      </c>
      <c r="AD62" s="87" t="str">
        <f t="shared" si="3"/>
        <v/>
      </c>
      <c r="AE62" s="87" t="str">
        <f t="shared" si="4"/>
        <v/>
      </c>
      <c r="AF62" s="150" t="str">
        <f>IF('Process Data Entry'!M64="","",'Process Data Entry'!M64)</f>
        <v/>
      </c>
      <c r="AG62" s="150" t="str">
        <f>IF('Process Data Entry'!N64="","",'Process Data Entry'!N64)</f>
        <v/>
      </c>
      <c r="AH62" s="81" t="str">
        <f t="shared" si="5"/>
        <v/>
      </c>
    </row>
    <row r="63" spans="1:34" s="105" customFormat="1" ht="15" thickBot="1">
      <c r="A63" s="97">
        <v>5</v>
      </c>
      <c r="B63" s="107">
        <f>'Energy Data Entry'!B84</f>
        <v>44743</v>
      </c>
      <c r="C63" s="361" t="str">
        <f>IF(OR('Process Data Entry'!C65="",'Process Data Entry'!C65=0),"",'Process Data Entry'!C65)</f>
        <v/>
      </c>
      <c r="D63" s="99" t="str">
        <f>IF(Table4[[#This Row],[Avg Daily Flow]]="","",_xlfn.DAYS(EOMONTH(B63,0),EOMONTH(B63,-1))*C63)</f>
        <v/>
      </c>
      <c r="E63" s="99" t="str">
        <f>IF('Process Data Entry'!F65="","",'Process Data Entry'!F65)</f>
        <v/>
      </c>
      <c r="F63" s="100" t="str">
        <f>IF(Table4[[#This Row],[BOD removed]]="","",Table4[[#This Row],[BOD removed]]*_xlfn.DAYS(EOMONTH(Table4[[#This Row],[Column2]],0),EOMONTH(Table4[[#This Row],[Column2]],-1)))</f>
        <v/>
      </c>
      <c r="G63" s="101" t="str">
        <f>IF(SUM('Energy Data Entry'!C84,'Energy Data Entry'!H84,'Energy Data Entry'!M84,'Energy Data Entry'!R84,'Energy Data Entry'!W84)=0,"",SUM('Energy Data Entry'!C84,'Energy Data Entry'!H84,'Energy Data Entry'!M84,'Energy Data Entry'!R84,'Energy Data Entry'!W84))</f>
        <v/>
      </c>
      <c r="H63" s="101">
        <f>'Energy Data Entry'!AG84</f>
        <v>0</v>
      </c>
      <c r="I63" s="101" t="str">
        <f>IF(Table4[[#This Row],[Electric kWh usage]]="","",Table4[[#This Row],[Gas kWh usage]]+Table4[[#This Row],[Electric kWh usage]])</f>
        <v/>
      </c>
      <c r="J63" s="100" t="str">
        <f>IF(OR(Table4[[#This Row],[Electric kWh usage]]="",Table4[[#This Row],[Monthly Flow]]=""),"",(Table4[[#This Row],[Electric kWh usage]]+Table4[[#This Row],[Gas kWh usage]])/Table4[[#This Row],[Monthly Flow]])</f>
        <v/>
      </c>
      <c r="K63" s="102" t="str">
        <f>_xlfn.IFERROR(IF(Table4[[#This Row],[Electric kWh usage]]="","",(Table4[[#This Row],[Electric kWh usage]]+Table4[[#This Row],[Gas kWh usage]])/Table4[[#This Row],[Total BOD removed]]),"")</f>
        <v/>
      </c>
      <c r="L63" s="101" t="str">
        <f>IF('Energy Data Entry'!E84+'Energy Data Entry'!J84+'Energy Data Entry'!O84+'Energy Data Entry'!T84+'Energy Data Entry'!Y84=0,"",'Energy Data Entry'!E84+'Energy Data Entry'!J84+'Energy Data Entry'!O84+'Energy Data Entry'!T84+'Energy Data Entry'!Y84)</f>
        <v/>
      </c>
      <c r="M63" s="101" t="str">
        <f>IF('Energy Data Entry'!F84+'Energy Data Entry'!K84+'Energy Data Entry'!P84++'Energy Data Entry'!U84+'Energy Data Entry'!Z84=0,"",'Energy Data Entry'!F84+'Energy Data Entry'!K84+'Energy Data Entry'!P84++'Energy Data Entry'!U84+'Energy Data Entry'!Z84)</f>
        <v/>
      </c>
      <c r="N63" s="103" t="str">
        <f>IF('Energy Data Entry'!G84+'Energy Data Entry'!L84+'Energy Data Entry'!Q84+'Energy Data Entry'!V84+'Energy Data Entry'!AA84=0,"",'Energy Data Entry'!G84+'Energy Data Entry'!L84+'Energy Data Entry'!Q84+'Energy Data Entry'!V84+'Energy Data Entry'!AA84)</f>
        <v/>
      </c>
      <c r="O63" s="103" t="str">
        <f>IF('Energy Data Entry'!D84+'Energy Data Entry'!I84+'Energy Data Entry'!N84+'Energy Data Entry'!S84+'Energy Data Entry'!X84=0,"",'Energy Data Entry'!D84+'Energy Data Entry'!I84+'Energy Data Entry'!N84+'Energy Data Entry'!S84+'Energy Data Entry'!X84)</f>
        <v/>
      </c>
      <c r="P63" s="413">
        <f>'Energy Data Entry'!AF84</f>
        <v>0</v>
      </c>
      <c r="Q63" s="152" t="str">
        <f>_xlfn.IFERROR(Table4[[#This Row],[Total electric cost]]/Table4[[#This Row],[Electric kWh usage]],"")</f>
        <v/>
      </c>
      <c r="R63" s="152" t="str">
        <f>_xlfn.IFERROR(Table4[[#This Row],[Electric Demand Cost]]/Table4[[#This Row],[Total Electric Demand (Billed)]],_xlfn.IFERROR(Table4[[#This Row],[Electric Demand Cost]]/Table4[[#This Row],[Total Electric Demand (Actual)]],""))</f>
        <v/>
      </c>
      <c r="S63" s="103" t="str">
        <f>_xlfn.IFERROR(Table4[[#This Row],[Total Gas cost]]+Table4[[#This Row],[Total electric cost]],"")</f>
        <v/>
      </c>
      <c r="T63" s="112"/>
      <c r="U63" s="103" t="str">
        <f>_xlfn.IFERROR(Table4[[#This Row],[Total Energy Cost]]/Table4[[#This Row],[Monthly Flow]],"")</f>
        <v/>
      </c>
      <c r="V63" s="103" t="str">
        <f>_xlfn.IFERROR(Table4[[#This Row],[Total Energy Cost]]/Table4[[#This Row],[Total BOD removed]],"")</f>
        <v/>
      </c>
      <c r="W63" s="362"/>
      <c r="X63" s="104" t="str">
        <f>IF('Process Data Entry'!G65="","",'Process Data Entry'!G65)</f>
        <v/>
      </c>
      <c r="Y63" s="104" t="str">
        <f>IF('Process Data Entry'!H65="","",'Process Data Entry'!H65)</f>
        <v/>
      </c>
      <c r="Z63" s="104">
        <f>IF('Process Data Entry'!I65="",0,'Process Data Entry'!I65)</f>
        <v>0</v>
      </c>
      <c r="AA63" s="104" t="str">
        <f>IF('Process Data Entry'!J65="","",'Process Data Entry'!J65)</f>
        <v/>
      </c>
      <c r="AB63" s="104" t="str">
        <f>IF('Process Data Entry'!K65="","",'Process Data Entry'!K65)</f>
        <v/>
      </c>
      <c r="AC63" s="104" t="str">
        <f>IF('Process Data Entry'!L65="","",'Process Data Entry'!L65)</f>
        <v/>
      </c>
      <c r="AD63" s="363" t="str">
        <f t="shared" si="3"/>
        <v/>
      </c>
      <c r="AE63" s="363" t="str">
        <f t="shared" si="4"/>
        <v/>
      </c>
      <c r="AF63" s="364" t="str">
        <f>IF('Process Data Entry'!M65="","",'Process Data Entry'!M65)</f>
        <v/>
      </c>
      <c r="AG63" s="364" t="str">
        <f>IF('Process Data Entry'!N65="","",'Process Data Entry'!N65)</f>
        <v/>
      </c>
      <c r="AH63" s="99" t="str">
        <f t="shared" si="5"/>
        <v/>
      </c>
    </row>
    <row r="64" spans="1:34" ht="15">
      <c r="A64" s="89">
        <v>6</v>
      </c>
      <c r="B64" s="106">
        <f>'Energy Data Entry'!B85</f>
        <v>44774</v>
      </c>
      <c r="C64" s="365" t="str">
        <f>IF(OR('Process Data Entry'!C66="",'Process Data Entry'!C66=0),"",'Process Data Entry'!C66)</f>
        <v/>
      </c>
      <c r="D64" s="91" t="str">
        <f>IF(Table4[[#This Row],[Avg Daily Flow]]="","",_xlfn.DAYS(EOMONTH(B64,0),EOMONTH(B64,-1))*C64)</f>
        <v/>
      </c>
      <c r="E64" s="91" t="str">
        <f>IF('Process Data Entry'!F66="","",'Process Data Entry'!F66)</f>
        <v/>
      </c>
      <c r="F64" s="92" t="str">
        <f>IF(Table4[[#This Row],[BOD removed]]="","",Table4[[#This Row],[BOD removed]]*_xlfn.DAYS(EOMONTH(Table4[[#This Row],[Column2]],0),EOMONTH(Table4[[#This Row],[Column2]],-1)))</f>
        <v/>
      </c>
      <c r="G64" s="93" t="str">
        <f>IF(SUM('Energy Data Entry'!C85,'Energy Data Entry'!H85,'Energy Data Entry'!M85,'Energy Data Entry'!R85,'Energy Data Entry'!W85)=0,"",SUM('Energy Data Entry'!C85,'Energy Data Entry'!H85,'Energy Data Entry'!M85,'Energy Data Entry'!R85,'Energy Data Entry'!W85))</f>
        <v/>
      </c>
      <c r="H64" s="93">
        <f>'Energy Data Entry'!AG85</f>
        <v>0</v>
      </c>
      <c r="I64" s="93" t="str">
        <f>IF(Table4[[#This Row],[Electric kWh usage]]="","",Table4[[#This Row],[Gas kWh usage]]+Table4[[#This Row],[Electric kWh usage]])</f>
        <v/>
      </c>
      <c r="J64" s="92" t="str">
        <f>IF(OR(Table4[[#This Row],[Electric kWh usage]]="",Table4[[#This Row],[Monthly Flow]]=""),"",(Table4[[#This Row],[Electric kWh usage]]+Table4[[#This Row],[Gas kWh usage]])/Table4[[#This Row],[Monthly Flow]])</f>
        <v/>
      </c>
      <c r="K64" s="94" t="str">
        <f>_xlfn.IFERROR(IF(Table4[[#This Row],[Electric kWh usage]]="","",(Table4[[#This Row],[Electric kWh usage]]+Table4[[#This Row],[Gas kWh usage]])/Table4[[#This Row],[Total BOD removed]]),"")</f>
        <v/>
      </c>
      <c r="L64" s="93" t="str">
        <f>IF('Energy Data Entry'!E85+'Energy Data Entry'!J85+'Energy Data Entry'!O85+'Energy Data Entry'!T85+'Energy Data Entry'!Y85=0,"",'Energy Data Entry'!E85+'Energy Data Entry'!J85+'Energy Data Entry'!O85+'Energy Data Entry'!T85+'Energy Data Entry'!Y85)</f>
        <v/>
      </c>
      <c r="M64" s="93" t="str">
        <f>IF('Energy Data Entry'!F85+'Energy Data Entry'!K85+'Energy Data Entry'!P85++'Energy Data Entry'!U85+'Energy Data Entry'!Z85=0,"",'Energy Data Entry'!F85+'Energy Data Entry'!K85+'Energy Data Entry'!P85++'Energy Data Entry'!U85+'Energy Data Entry'!Z85)</f>
        <v/>
      </c>
      <c r="N64" s="95" t="str">
        <f>IF('Energy Data Entry'!G85+'Energy Data Entry'!L85+'Energy Data Entry'!Q85+'Energy Data Entry'!V85+'Energy Data Entry'!AA85=0,"",'Energy Data Entry'!G85+'Energy Data Entry'!L85+'Energy Data Entry'!Q85+'Energy Data Entry'!V85+'Energy Data Entry'!AA85)</f>
        <v/>
      </c>
      <c r="O64" s="95" t="str">
        <f>IF('Energy Data Entry'!D85+'Energy Data Entry'!I85+'Energy Data Entry'!N85+'Energy Data Entry'!S85+'Energy Data Entry'!X85=0,"",'Energy Data Entry'!D85+'Energy Data Entry'!I85+'Energy Data Entry'!N85+'Energy Data Entry'!S85+'Energy Data Entry'!X85)</f>
        <v/>
      </c>
      <c r="P64" s="414">
        <f>'Energy Data Entry'!AF85</f>
        <v>0</v>
      </c>
      <c r="Q64" s="153" t="str">
        <f>_xlfn.IFERROR(Table4[[#This Row],[Total electric cost]]/Table4[[#This Row],[Electric kWh usage]],"")</f>
        <v/>
      </c>
      <c r="R64" s="153" t="str">
        <f>_xlfn.IFERROR(Table4[[#This Row],[Electric Demand Cost]]/Table4[[#This Row],[Total Electric Demand (Billed)]],_xlfn.IFERROR(Table4[[#This Row],[Electric Demand Cost]]/Table4[[#This Row],[Total Electric Demand (Actual)]],""))</f>
        <v/>
      </c>
      <c r="S64" s="95" t="str">
        <f>_xlfn.IFERROR(Table4[[#This Row],[Total Gas cost]]+Table4[[#This Row],[Total electric cost]],"")</f>
        <v/>
      </c>
      <c r="T64" s="113"/>
      <c r="U64" s="95" t="str">
        <f>_xlfn.IFERROR(Table4[[#This Row],[Total Energy Cost]]/Table4[[#This Row],[Monthly Flow]],"")</f>
        <v/>
      </c>
      <c r="V64" s="95" t="str">
        <f>_xlfn.IFERROR(Table4[[#This Row],[Total Energy Cost]]/Table4[[#This Row],[Total BOD removed]],"")</f>
        <v/>
      </c>
      <c r="W64" s="116"/>
      <c r="X64" s="96" t="str">
        <f>IF('Process Data Entry'!G66="","",'Process Data Entry'!G66)</f>
        <v/>
      </c>
      <c r="Y64" s="96" t="str">
        <f>IF('Process Data Entry'!H66="","",'Process Data Entry'!H66)</f>
        <v/>
      </c>
      <c r="Z64" s="96">
        <f>IF('Process Data Entry'!I66="",0,'Process Data Entry'!I66)</f>
        <v>0</v>
      </c>
      <c r="AA64" s="96" t="str">
        <f>IF('Process Data Entry'!J66="","",'Process Data Entry'!J66)</f>
        <v/>
      </c>
      <c r="AB64" s="96" t="str">
        <f>IF('Process Data Entry'!K66="","",'Process Data Entry'!K66)</f>
        <v/>
      </c>
      <c r="AC64" s="96" t="str">
        <f>IF('Process Data Entry'!L66="","",'Process Data Entry'!L66)</f>
        <v/>
      </c>
      <c r="AD64" s="366" t="str">
        <f t="shared" si="3"/>
        <v/>
      </c>
      <c r="AE64" s="366" t="str">
        <f t="shared" si="4"/>
        <v/>
      </c>
      <c r="AF64" s="367" t="str">
        <f>IF('Process Data Entry'!M66="","",'Process Data Entry'!M66)</f>
        <v/>
      </c>
      <c r="AG64" s="367" t="str">
        <f>IF('Process Data Entry'!N66="","",'Process Data Entry'!N66)</f>
        <v/>
      </c>
      <c r="AH64" s="91" t="str">
        <f t="shared" si="5"/>
        <v/>
      </c>
    </row>
    <row r="65" spans="1:34" ht="15">
      <c r="A65" s="78">
        <v>6</v>
      </c>
      <c r="B65" s="88">
        <f>'Energy Data Entry'!B86</f>
        <v>44805</v>
      </c>
      <c r="C65" s="80" t="str">
        <f>IF(OR('Process Data Entry'!C67="",'Process Data Entry'!C67=0),"",'Process Data Entry'!C67)</f>
        <v/>
      </c>
      <c r="D65" s="81" t="str">
        <f>IF(Table4[[#This Row],[Avg Daily Flow]]="","",_xlfn.DAYS(EOMONTH(B65,0),EOMONTH(B65,-1))*C65)</f>
        <v/>
      </c>
      <c r="E65" s="81" t="str">
        <f>IF('Process Data Entry'!F67="","",'Process Data Entry'!F67)</f>
        <v/>
      </c>
      <c r="F65" s="82" t="str">
        <f>IF(Table4[[#This Row],[BOD removed]]="","",Table4[[#This Row],[BOD removed]]*_xlfn.DAYS(EOMONTH(Table4[[#This Row],[Column2]],0),EOMONTH(Table4[[#This Row],[Column2]],-1)))</f>
        <v/>
      </c>
      <c r="G65" s="83" t="str">
        <f>IF(SUM('Energy Data Entry'!C86,'Energy Data Entry'!H86,'Energy Data Entry'!M86,'Energy Data Entry'!R86,'Energy Data Entry'!W86)=0,"",SUM('Energy Data Entry'!C86,'Energy Data Entry'!H86,'Energy Data Entry'!M86,'Energy Data Entry'!R86,'Energy Data Entry'!W86))</f>
        <v/>
      </c>
      <c r="H65" s="83">
        <f>'Energy Data Entry'!AG86</f>
        <v>0</v>
      </c>
      <c r="I65" s="83" t="str">
        <f>IF(Table4[[#This Row],[Electric kWh usage]]="","",Table4[[#This Row],[Gas kWh usage]]+Table4[[#This Row],[Electric kWh usage]])</f>
        <v/>
      </c>
      <c r="J65" s="82" t="str">
        <f>IF(OR(Table4[[#This Row],[Electric kWh usage]]="",Table4[[#This Row],[Monthly Flow]]=""),"",(Table4[[#This Row],[Electric kWh usage]]+Table4[[#This Row],[Gas kWh usage]])/Table4[[#This Row],[Monthly Flow]])</f>
        <v/>
      </c>
      <c r="K65" s="84" t="str">
        <f>_xlfn.IFERROR(IF(Table4[[#This Row],[Electric kWh usage]]="","",(Table4[[#This Row],[Electric kWh usage]]+Table4[[#This Row],[Gas kWh usage]])/Table4[[#This Row],[Total BOD removed]]),"")</f>
        <v/>
      </c>
      <c r="L65" s="83" t="str">
        <f>IF('Energy Data Entry'!E86+'Energy Data Entry'!J86+'Energy Data Entry'!O86+'Energy Data Entry'!T86+'Energy Data Entry'!Y86=0,"",'Energy Data Entry'!E86+'Energy Data Entry'!J86+'Energy Data Entry'!O86+'Energy Data Entry'!T86+'Energy Data Entry'!Y86)</f>
        <v/>
      </c>
      <c r="M65" s="83" t="str">
        <f>IF('Energy Data Entry'!F86+'Energy Data Entry'!K86+'Energy Data Entry'!P86++'Energy Data Entry'!U86+'Energy Data Entry'!Z86=0,"",'Energy Data Entry'!F86+'Energy Data Entry'!K86+'Energy Data Entry'!P86++'Energy Data Entry'!U86+'Energy Data Entry'!Z86)</f>
        <v/>
      </c>
      <c r="N65" s="85" t="str">
        <f>IF('Energy Data Entry'!G86+'Energy Data Entry'!L86+'Energy Data Entry'!Q86+'Energy Data Entry'!V86+'Energy Data Entry'!AA86=0,"",'Energy Data Entry'!G86+'Energy Data Entry'!L86+'Energy Data Entry'!Q86+'Energy Data Entry'!V86+'Energy Data Entry'!AA86)</f>
        <v/>
      </c>
      <c r="O65" s="85" t="str">
        <f>IF('Energy Data Entry'!D86+'Energy Data Entry'!I86+'Energy Data Entry'!N86+'Energy Data Entry'!S86+'Energy Data Entry'!X86=0,"",'Energy Data Entry'!D86+'Energy Data Entry'!I86+'Energy Data Entry'!N86+'Energy Data Entry'!S86+'Energy Data Entry'!X86)</f>
        <v/>
      </c>
      <c r="P65" s="412">
        <f>'Energy Data Entry'!AF86</f>
        <v>0</v>
      </c>
      <c r="Q65" s="151" t="str">
        <f>_xlfn.IFERROR(Table4[[#This Row],[Total electric cost]]/Table4[[#This Row],[Electric kWh usage]],"")</f>
        <v/>
      </c>
      <c r="R65" s="151" t="str">
        <f>_xlfn.IFERROR(Table4[[#This Row],[Electric Demand Cost]]/Table4[[#This Row],[Total Electric Demand (Billed)]],_xlfn.IFERROR(Table4[[#This Row],[Electric Demand Cost]]/Table4[[#This Row],[Total Electric Demand (Actual)]],""))</f>
        <v/>
      </c>
      <c r="S65" s="85" t="str">
        <f>_xlfn.IFERROR(Table4[[#This Row],[Total Gas cost]]+Table4[[#This Row],[Total electric cost]],"")</f>
        <v/>
      </c>
      <c r="T65" s="111"/>
      <c r="U65" s="85" t="str">
        <f>_xlfn.IFERROR(Table4[[#This Row],[Total Energy Cost]]/Table4[[#This Row],[Monthly Flow]],"")</f>
        <v/>
      </c>
      <c r="V65" s="85" t="str">
        <f>_xlfn.IFERROR(Table4[[#This Row],[Total Energy Cost]]/Table4[[#This Row],[Total BOD removed]],"")</f>
        <v/>
      </c>
      <c r="W65" s="116"/>
      <c r="X65" s="86" t="str">
        <f>IF('Process Data Entry'!G67="","",'Process Data Entry'!G67)</f>
        <v/>
      </c>
      <c r="Y65" s="86" t="str">
        <f>IF('Process Data Entry'!H67="","",'Process Data Entry'!H67)</f>
        <v/>
      </c>
      <c r="Z65" s="86">
        <f>IF('Process Data Entry'!I67="",0,'Process Data Entry'!I67)</f>
        <v>0</v>
      </c>
      <c r="AA65" s="86" t="str">
        <f>IF('Process Data Entry'!J67="","",'Process Data Entry'!J67)</f>
        <v/>
      </c>
      <c r="AB65" s="86" t="str">
        <f>IF('Process Data Entry'!K67="","",'Process Data Entry'!K67)</f>
        <v/>
      </c>
      <c r="AC65" s="86" t="str">
        <f>IF('Process Data Entry'!L67="","",'Process Data Entry'!L67)</f>
        <v/>
      </c>
      <c r="AD65" s="87" t="str">
        <f t="shared" si="3"/>
        <v/>
      </c>
      <c r="AE65" s="87" t="str">
        <f t="shared" si="4"/>
        <v/>
      </c>
      <c r="AF65" s="150" t="str">
        <f>IF('Process Data Entry'!M67="","",'Process Data Entry'!M67)</f>
        <v/>
      </c>
      <c r="AG65" s="150" t="str">
        <f>IF('Process Data Entry'!N67="","",'Process Data Entry'!N67)</f>
        <v/>
      </c>
      <c r="AH65" s="81" t="str">
        <f t="shared" si="5"/>
        <v/>
      </c>
    </row>
    <row r="66" spans="1:34" ht="15">
      <c r="A66" s="78">
        <v>6</v>
      </c>
      <c r="B66" s="88">
        <f>'Energy Data Entry'!B87</f>
        <v>44835</v>
      </c>
      <c r="C66" s="80" t="str">
        <f>IF(OR('Process Data Entry'!C68="",'Process Data Entry'!C68=0),"",'Process Data Entry'!C68)</f>
        <v/>
      </c>
      <c r="D66" s="81" t="str">
        <f>IF(Table4[[#This Row],[Avg Daily Flow]]="","",_xlfn.DAYS(EOMONTH(B66,0),EOMONTH(B66,-1))*C66)</f>
        <v/>
      </c>
      <c r="E66" s="81" t="str">
        <f>IF('Process Data Entry'!F68="","",'Process Data Entry'!F68)</f>
        <v/>
      </c>
      <c r="F66" s="82" t="str">
        <f>IF(Table4[[#This Row],[BOD removed]]="","",Table4[[#This Row],[BOD removed]]*_xlfn.DAYS(EOMONTH(Table4[[#This Row],[Column2]],0),EOMONTH(Table4[[#This Row],[Column2]],-1)))</f>
        <v/>
      </c>
      <c r="G66" s="83" t="str">
        <f>IF(SUM('Energy Data Entry'!C87,'Energy Data Entry'!H87,'Energy Data Entry'!M87,'Energy Data Entry'!R87,'Energy Data Entry'!W87)=0,"",SUM('Energy Data Entry'!C87,'Energy Data Entry'!H87,'Energy Data Entry'!M87,'Energy Data Entry'!R87,'Energy Data Entry'!W87))</f>
        <v/>
      </c>
      <c r="H66" s="83">
        <f>'Energy Data Entry'!AG87</f>
        <v>0</v>
      </c>
      <c r="I66" s="83" t="str">
        <f>IF(Table4[[#This Row],[Electric kWh usage]]="","",Table4[[#This Row],[Gas kWh usage]]+Table4[[#This Row],[Electric kWh usage]])</f>
        <v/>
      </c>
      <c r="J66" s="82" t="str">
        <f>IF(OR(Table4[[#This Row],[Electric kWh usage]]="",Table4[[#This Row],[Monthly Flow]]=""),"",(Table4[[#This Row],[Electric kWh usage]]+Table4[[#This Row],[Gas kWh usage]])/Table4[[#This Row],[Monthly Flow]])</f>
        <v/>
      </c>
      <c r="K66" s="84" t="str">
        <f>_xlfn.IFERROR(IF(Table4[[#This Row],[Electric kWh usage]]="","",(Table4[[#This Row],[Electric kWh usage]]+Table4[[#This Row],[Gas kWh usage]])/Table4[[#This Row],[Total BOD removed]]),"")</f>
        <v/>
      </c>
      <c r="L66" s="83" t="str">
        <f>IF('Energy Data Entry'!E87+'Energy Data Entry'!J87+'Energy Data Entry'!O87+'Energy Data Entry'!T87+'Energy Data Entry'!Y87=0,"",'Energy Data Entry'!E87+'Energy Data Entry'!J87+'Energy Data Entry'!O87+'Energy Data Entry'!T87+'Energy Data Entry'!Y87)</f>
        <v/>
      </c>
      <c r="M66" s="83" t="str">
        <f>IF('Energy Data Entry'!F87+'Energy Data Entry'!K87+'Energy Data Entry'!P87++'Energy Data Entry'!U87+'Energy Data Entry'!Z87=0,"",'Energy Data Entry'!F87+'Energy Data Entry'!K87+'Energy Data Entry'!P87++'Energy Data Entry'!U87+'Energy Data Entry'!Z87)</f>
        <v/>
      </c>
      <c r="N66" s="85" t="str">
        <f>IF('Energy Data Entry'!G87+'Energy Data Entry'!L87+'Energy Data Entry'!Q87+'Energy Data Entry'!V87+'Energy Data Entry'!AA87=0,"",'Energy Data Entry'!G87+'Energy Data Entry'!L87+'Energy Data Entry'!Q87+'Energy Data Entry'!V87+'Energy Data Entry'!AA87)</f>
        <v/>
      </c>
      <c r="O66" s="85" t="str">
        <f>IF('Energy Data Entry'!D87+'Energy Data Entry'!I87+'Energy Data Entry'!N87+'Energy Data Entry'!S87+'Energy Data Entry'!X87=0,"",'Energy Data Entry'!D87+'Energy Data Entry'!I87+'Energy Data Entry'!N87+'Energy Data Entry'!S87+'Energy Data Entry'!X87)</f>
        <v/>
      </c>
      <c r="P66" s="412">
        <f>'Energy Data Entry'!AF87</f>
        <v>0</v>
      </c>
      <c r="Q66" s="151" t="str">
        <f>_xlfn.IFERROR(Table4[[#This Row],[Total electric cost]]/Table4[[#This Row],[Electric kWh usage]],"")</f>
        <v/>
      </c>
      <c r="R66" s="151" t="str">
        <f>_xlfn.IFERROR(Table4[[#This Row],[Electric Demand Cost]]/Table4[[#This Row],[Total Electric Demand (Billed)]],_xlfn.IFERROR(Table4[[#This Row],[Electric Demand Cost]]/Table4[[#This Row],[Total Electric Demand (Actual)]],""))</f>
        <v/>
      </c>
      <c r="S66" s="85" t="str">
        <f>_xlfn.IFERROR(Table4[[#This Row],[Total Gas cost]]+Table4[[#This Row],[Total electric cost]],"")</f>
        <v/>
      </c>
      <c r="T66" s="111"/>
      <c r="U66" s="85" t="str">
        <f>_xlfn.IFERROR(Table4[[#This Row],[Total Energy Cost]]/Table4[[#This Row],[Monthly Flow]],"")</f>
        <v/>
      </c>
      <c r="V66" s="85" t="str">
        <f>_xlfn.IFERROR(Table4[[#This Row],[Total Energy Cost]]/Table4[[#This Row],[Total BOD removed]],"")</f>
        <v/>
      </c>
      <c r="W66" s="116"/>
      <c r="X66" s="86" t="str">
        <f>IF('Process Data Entry'!G68="","",'Process Data Entry'!G68)</f>
        <v/>
      </c>
      <c r="Y66" s="86" t="str">
        <f>IF('Process Data Entry'!H68="","",'Process Data Entry'!H68)</f>
        <v/>
      </c>
      <c r="Z66" s="86">
        <f>IF('Process Data Entry'!I68="",0,'Process Data Entry'!I68)</f>
        <v>0</v>
      </c>
      <c r="AA66" s="86" t="str">
        <f>IF('Process Data Entry'!J68="","",'Process Data Entry'!J68)</f>
        <v/>
      </c>
      <c r="AB66" s="86" t="str">
        <f>IF('Process Data Entry'!K68="","",'Process Data Entry'!K68)</f>
        <v/>
      </c>
      <c r="AC66" s="86" t="str">
        <f>IF('Process Data Entry'!L68="","",'Process Data Entry'!L68)</f>
        <v/>
      </c>
      <c r="AD66" s="87" t="str">
        <f t="shared" si="3"/>
        <v/>
      </c>
      <c r="AE66" s="87" t="str">
        <f t="shared" si="4"/>
        <v/>
      </c>
      <c r="AF66" s="150" t="str">
        <f>IF('Process Data Entry'!M68="","",'Process Data Entry'!M68)</f>
        <v/>
      </c>
      <c r="AG66" s="150" t="str">
        <f>IF('Process Data Entry'!N68="","",'Process Data Entry'!N68)</f>
        <v/>
      </c>
      <c r="AH66" s="81" t="str">
        <f t="shared" si="5"/>
        <v/>
      </c>
    </row>
    <row r="67" spans="1:34" ht="15">
      <c r="A67" s="78">
        <v>6</v>
      </c>
      <c r="B67" s="88">
        <f>'Energy Data Entry'!B88</f>
        <v>44866</v>
      </c>
      <c r="C67" s="80" t="str">
        <f>IF(OR('Process Data Entry'!C69="",'Process Data Entry'!C69=0),"",'Process Data Entry'!C69)</f>
        <v/>
      </c>
      <c r="D67" s="81" t="str">
        <f>IF(Table4[[#This Row],[Avg Daily Flow]]="","",_xlfn.DAYS(EOMONTH(B67,0),EOMONTH(B67,-1))*C67)</f>
        <v/>
      </c>
      <c r="E67" s="81" t="str">
        <f>IF('Process Data Entry'!F69="","",'Process Data Entry'!F69)</f>
        <v/>
      </c>
      <c r="F67" s="82" t="str">
        <f>IF(Table4[[#This Row],[BOD removed]]="","",Table4[[#This Row],[BOD removed]]*_xlfn.DAYS(EOMONTH(Table4[[#This Row],[Column2]],0),EOMONTH(Table4[[#This Row],[Column2]],-1)))</f>
        <v/>
      </c>
      <c r="G67" s="83" t="str">
        <f>IF(SUM('Energy Data Entry'!C88,'Energy Data Entry'!H88,'Energy Data Entry'!M88,'Energy Data Entry'!R88,'Energy Data Entry'!W88)=0,"",SUM('Energy Data Entry'!C88,'Energy Data Entry'!H88,'Energy Data Entry'!M88,'Energy Data Entry'!R88,'Energy Data Entry'!W88))</f>
        <v/>
      </c>
      <c r="H67" s="83">
        <f>'Energy Data Entry'!AG88</f>
        <v>0</v>
      </c>
      <c r="I67" s="83" t="str">
        <f>IF(Table4[[#This Row],[Electric kWh usage]]="","",Table4[[#This Row],[Gas kWh usage]]+Table4[[#This Row],[Electric kWh usage]])</f>
        <v/>
      </c>
      <c r="J67" s="82" t="str">
        <f>IF(OR(Table4[[#This Row],[Electric kWh usage]]="",Table4[[#This Row],[Monthly Flow]]=""),"",(Table4[[#This Row],[Electric kWh usage]]+Table4[[#This Row],[Gas kWh usage]])/Table4[[#This Row],[Monthly Flow]])</f>
        <v/>
      </c>
      <c r="K67" s="84" t="str">
        <f>_xlfn.IFERROR(IF(Table4[[#This Row],[Electric kWh usage]]="","",(Table4[[#This Row],[Electric kWh usage]]+Table4[[#This Row],[Gas kWh usage]])/Table4[[#This Row],[Total BOD removed]]),"")</f>
        <v/>
      </c>
      <c r="L67" s="83" t="str">
        <f>IF('Energy Data Entry'!E88+'Energy Data Entry'!J88+'Energy Data Entry'!O88+'Energy Data Entry'!T88+'Energy Data Entry'!Y88=0,"",'Energy Data Entry'!E88+'Energy Data Entry'!J88+'Energy Data Entry'!O88+'Energy Data Entry'!T88+'Energy Data Entry'!Y88)</f>
        <v/>
      </c>
      <c r="M67" s="83" t="str">
        <f>IF('Energy Data Entry'!F88+'Energy Data Entry'!K88+'Energy Data Entry'!P88++'Energy Data Entry'!U88+'Energy Data Entry'!Z88=0,"",'Energy Data Entry'!F88+'Energy Data Entry'!K88+'Energy Data Entry'!P88++'Energy Data Entry'!U88+'Energy Data Entry'!Z88)</f>
        <v/>
      </c>
      <c r="N67" s="85" t="str">
        <f>IF('Energy Data Entry'!G88+'Energy Data Entry'!L88+'Energy Data Entry'!Q88+'Energy Data Entry'!V88+'Energy Data Entry'!AA88=0,"",'Energy Data Entry'!G88+'Energy Data Entry'!L88+'Energy Data Entry'!Q88+'Energy Data Entry'!V88+'Energy Data Entry'!AA88)</f>
        <v/>
      </c>
      <c r="O67" s="85" t="str">
        <f>IF('Energy Data Entry'!D88+'Energy Data Entry'!I88+'Energy Data Entry'!N88+'Energy Data Entry'!S88+'Energy Data Entry'!X88=0,"",'Energy Data Entry'!D88+'Energy Data Entry'!I88+'Energy Data Entry'!N88+'Energy Data Entry'!S88+'Energy Data Entry'!X88)</f>
        <v/>
      </c>
      <c r="P67" s="412">
        <f>'Energy Data Entry'!AF88</f>
        <v>0</v>
      </c>
      <c r="Q67" s="151" t="str">
        <f>_xlfn.IFERROR(Table4[[#This Row],[Total electric cost]]/Table4[[#This Row],[Electric kWh usage]],"")</f>
        <v/>
      </c>
      <c r="R67" s="151" t="str">
        <f>_xlfn.IFERROR(Table4[[#This Row],[Electric Demand Cost]]/Table4[[#This Row],[Total Electric Demand (Billed)]],_xlfn.IFERROR(Table4[[#This Row],[Electric Demand Cost]]/Table4[[#This Row],[Total Electric Demand (Actual)]],""))</f>
        <v/>
      </c>
      <c r="S67" s="85" t="str">
        <f>_xlfn.IFERROR(Table4[[#This Row],[Total Gas cost]]+Table4[[#This Row],[Total electric cost]],"")</f>
        <v/>
      </c>
      <c r="T67" s="111"/>
      <c r="U67" s="85" t="str">
        <f>_xlfn.IFERROR(Table4[[#This Row],[Total Energy Cost]]/Table4[[#This Row],[Monthly Flow]],"")</f>
        <v/>
      </c>
      <c r="V67" s="85" t="str">
        <f>_xlfn.IFERROR(Table4[[#This Row],[Total Energy Cost]]/Table4[[#This Row],[Total BOD removed]],"")</f>
        <v/>
      </c>
      <c r="W67" s="116"/>
      <c r="X67" s="86" t="str">
        <f>IF('Process Data Entry'!G69="","",'Process Data Entry'!G69)</f>
        <v/>
      </c>
      <c r="Y67" s="86" t="str">
        <f>IF('Process Data Entry'!H69="","",'Process Data Entry'!H69)</f>
        <v/>
      </c>
      <c r="Z67" s="86">
        <f>IF('Process Data Entry'!I69="",0,'Process Data Entry'!I69)</f>
        <v>0</v>
      </c>
      <c r="AA67" s="86" t="str">
        <f>IF('Process Data Entry'!J69="","",'Process Data Entry'!J69)</f>
        <v/>
      </c>
      <c r="AB67" s="86" t="str">
        <f>IF('Process Data Entry'!K69="","",'Process Data Entry'!K69)</f>
        <v/>
      </c>
      <c r="AC67" s="86" t="str">
        <f>IF('Process Data Entry'!L69="","",'Process Data Entry'!L69)</f>
        <v/>
      </c>
      <c r="AD67" s="87" t="str">
        <f t="shared" si="3"/>
        <v/>
      </c>
      <c r="AE67" s="87" t="str">
        <f t="shared" si="4"/>
        <v/>
      </c>
      <c r="AF67" s="150" t="str">
        <f>IF('Process Data Entry'!M69="","",'Process Data Entry'!M69)</f>
        <v/>
      </c>
      <c r="AG67" s="150" t="str">
        <f>IF('Process Data Entry'!N69="","",'Process Data Entry'!N69)</f>
        <v/>
      </c>
      <c r="AH67" s="81" t="str">
        <f t="shared" si="5"/>
        <v/>
      </c>
    </row>
    <row r="68" spans="1:34" ht="15">
      <c r="A68" s="78">
        <v>6</v>
      </c>
      <c r="B68" s="88">
        <f>'Energy Data Entry'!B89</f>
        <v>44896</v>
      </c>
      <c r="C68" s="80" t="str">
        <f>IF(OR('Process Data Entry'!C70="",'Process Data Entry'!C70=0),"",'Process Data Entry'!C70)</f>
        <v/>
      </c>
      <c r="D68" s="81" t="str">
        <f>IF(Table4[[#This Row],[Avg Daily Flow]]="","",_xlfn.DAYS(EOMONTH(B68,0),EOMONTH(B68,-1))*C68)</f>
        <v/>
      </c>
      <c r="E68" s="81" t="str">
        <f>IF('Process Data Entry'!F70="","",'Process Data Entry'!F70)</f>
        <v/>
      </c>
      <c r="F68" s="82" t="str">
        <f>IF(Table4[[#This Row],[BOD removed]]="","",Table4[[#This Row],[BOD removed]]*_xlfn.DAYS(EOMONTH(Table4[[#This Row],[Column2]],0),EOMONTH(Table4[[#This Row],[Column2]],-1)))</f>
        <v/>
      </c>
      <c r="G68" s="83" t="str">
        <f>IF(SUM('Energy Data Entry'!C89,'Energy Data Entry'!H89,'Energy Data Entry'!M89,'Energy Data Entry'!R89,'Energy Data Entry'!W89)=0,"",SUM('Energy Data Entry'!C89,'Energy Data Entry'!H89,'Energy Data Entry'!M89,'Energy Data Entry'!R89,'Energy Data Entry'!W89))</f>
        <v/>
      </c>
      <c r="H68" s="83">
        <f>'Energy Data Entry'!AG89</f>
        <v>0</v>
      </c>
      <c r="I68" s="83" t="str">
        <f>IF(Table4[[#This Row],[Electric kWh usage]]="","",Table4[[#This Row],[Gas kWh usage]]+Table4[[#This Row],[Electric kWh usage]])</f>
        <v/>
      </c>
      <c r="J68" s="82" t="str">
        <f>IF(OR(Table4[[#This Row],[Electric kWh usage]]="",Table4[[#This Row],[Monthly Flow]]=""),"",(Table4[[#This Row],[Electric kWh usage]]+Table4[[#This Row],[Gas kWh usage]])/Table4[[#This Row],[Monthly Flow]])</f>
        <v/>
      </c>
      <c r="K68" s="84" t="str">
        <f>_xlfn.IFERROR(IF(Table4[[#This Row],[Electric kWh usage]]="","",(Table4[[#This Row],[Electric kWh usage]]+Table4[[#This Row],[Gas kWh usage]])/Table4[[#This Row],[Total BOD removed]]),"")</f>
        <v/>
      </c>
      <c r="L68" s="83" t="str">
        <f>IF('Energy Data Entry'!E89+'Energy Data Entry'!J89+'Energy Data Entry'!O89+'Energy Data Entry'!T89+'Energy Data Entry'!Y89=0,"",'Energy Data Entry'!E89+'Energy Data Entry'!J89+'Energy Data Entry'!O89+'Energy Data Entry'!T89+'Energy Data Entry'!Y89)</f>
        <v/>
      </c>
      <c r="M68" s="83" t="str">
        <f>IF('Energy Data Entry'!F89+'Energy Data Entry'!K89+'Energy Data Entry'!P89++'Energy Data Entry'!U89+'Energy Data Entry'!Z89=0,"",'Energy Data Entry'!F89+'Energy Data Entry'!K89+'Energy Data Entry'!P89++'Energy Data Entry'!U89+'Energy Data Entry'!Z89)</f>
        <v/>
      </c>
      <c r="N68" s="85" t="str">
        <f>IF('Energy Data Entry'!G89+'Energy Data Entry'!L89+'Energy Data Entry'!Q89+'Energy Data Entry'!V89+'Energy Data Entry'!AA89=0,"",'Energy Data Entry'!G89+'Energy Data Entry'!L89+'Energy Data Entry'!Q89+'Energy Data Entry'!V89+'Energy Data Entry'!AA89)</f>
        <v/>
      </c>
      <c r="O68" s="85" t="str">
        <f>IF('Energy Data Entry'!D89+'Energy Data Entry'!I89+'Energy Data Entry'!N89+'Energy Data Entry'!S89+'Energy Data Entry'!X89=0,"",'Energy Data Entry'!D89+'Energy Data Entry'!I89+'Energy Data Entry'!N89+'Energy Data Entry'!S89+'Energy Data Entry'!X89)</f>
        <v/>
      </c>
      <c r="P68" s="412">
        <f>'Energy Data Entry'!AF89</f>
        <v>0</v>
      </c>
      <c r="Q68" s="151" t="str">
        <f>_xlfn.IFERROR(Table4[[#This Row],[Total electric cost]]/Table4[[#This Row],[Electric kWh usage]],"")</f>
        <v/>
      </c>
      <c r="R68" s="151" t="str">
        <f>_xlfn.IFERROR(Table4[[#This Row],[Electric Demand Cost]]/Table4[[#This Row],[Total Electric Demand (Billed)]],_xlfn.IFERROR(Table4[[#This Row],[Electric Demand Cost]]/Table4[[#This Row],[Total Electric Demand (Actual)]],""))</f>
        <v/>
      </c>
      <c r="S68" s="85" t="str">
        <f>_xlfn.IFERROR(Table4[[#This Row],[Total Gas cost]]+Table4[[#This Row],[Total electric cost]],"")</f>
        <v/>
      </c>
      <c r="T68" s="111"/>
      <c r="U68" s="85" t="str">
        <f>_xlfn.IFERROR(Table4[[#This Row],[Total Energy Cost]]/Table4[[#This Row],[Monthly Flow]],"")</f>
        <v/>
      </c>
      <c r="V68" s="85" t="str">
        <f>_xlfn.IFERROR(Table4[[#This Row],[Total Energy Cost]]/Table4[[#This Row],[Total BOD removed]],"")</f>
        <v/>
      </c>
      <c r="W68" s="116"/>
      <c r="X68" s="86" t="str">
        <f>IF('Process Data Entry'!G70="","",'Process Data Entry'!G70)</f>
        <v/>
      </c>
      <c r="Y68" s="86" t="str">
        <f>IF('Process Data Entry'!H70="","",'Process Data Entry'!H70)</f>
        <v/>
      </c>
      <c r="Z68" s="86">
        <f>IF('Process Data Entry'!I70="",0,'Process Data Entry'!I70)</f>
        <v>0</v>
      </c>
      <c r="AA68" s="86" t="str">
        <f>IF('Process Data Entry'!J70="","",'Process Data Entry'!J70)</f>
        <v/>
      </c>
      <c r="AB68" s="86" t="str">
        <f>IF('Process Data Entry'!K70="","",'Process Data Entry'!K70)</f>
        <v/>
      </c>
      <c r="AC68" s="86" t="str">
        <f>IF('Process Data Entry'!L70="","",'Process Data Entry'!L70)</f>
        <v/>
      </c>
      <c r="AD68" s="87" t="str">
        <f aca="true" t="shared" si="6" ref="AD68:AD87">_xlfn.IFERROR(IF(OR(X68="",AC68="",AND(AA68="",AB68=""),((X68+Z68)-(MAX(AA68,AB68)+AC68))&lt;0),"",(X68+Z68)-(MAX(AA68,AB68)+AC68)),"")</f>
        <v/>
      </c>
      <c r="AE68" s="87" t="str">
        <f aca="true" t="shared" si="7" ref="AE68:AE87">IF(OR(AD68="",D68=""),"",AD68*D68*8.34)</f>
        <v/>
      </c>
      <c r="AF68" s="150" t="str">
        <f>IF('Process Data Entry'!M70="","",'Process Data Entry'!M70)</f>
        <v/>
      </c>
      <c r="AG68" s="150" t="str">
        <f>IF('Process Data Entry'!N70="","",'Process Data Entry'!N70)</f>
        <v/>
      </c>
      <c r="AH68" s="81" t="str">
        <f aca="true" t="shared" si="8" ref="AH68:AH87">IF(OR(AF68="",AG68="",D68=""),"",8.34*D68*(AF68-AG68))</f>
        <v/>
      </c>
    </row>
    <row r="69" spans="1:34" ht="15">
      <c r="A69" s="78">
        <v>6</v>
      </c>
      <c r="B69" s="88">
        <f>'Energy Data Entry'!B90</f>
        <v>44927</v>
      </c>
      <c r="C69" s="80" t="str">
        <f>IF(OR('Process Data Entry'!C71="",'Process Data Entry'!C71=0),"",'Process Data Entry'!C71)</f>
        <v/>
      </c>
      <c r="D69" s="81" t="str">
        <f>IF(Table4[[#This Row],[Avg Daily Flow]]="","",_xlfn.DAYS(EOMONTH(B69,0),EOMONTH(B69,-1))*C69)</f>
        <v/>
      </c>
      <c r="E69" s="81" t="str">
        <f>IF('Process Data Entry'!F71="","",'Process Data Entry'!F71)</f>
        <v/>
      </c>
      <c r="F69" s="82" t="str">
        <f>IF(Table4[[#This Row],[BOD removed]]="","",Table4[[#This Row],[BOD removed]]*_xlfn.DAYS(EOMONTH(Table4[[#This Row],[Column2]],0),EOMONTH(Table4[[#This Row],[Column2]],-1)))</f>
        <v/>
      </c>
      <c r="G69" s="83" t="str">
        <f>IF(SUM('Energy Data Entry'!C90,'Energy Data Entry'!H90,'Energy Data Entry'!M90,'Energy Data Entry'!R90,'Energy Data Entry'!W90)=0,"",SUM('Energy Data Entry'!C90,'Energy Data Entry'!H90,'Energy Data Entry'!M90,'Energy Data Entry'!R90,'Energy Data Entry'!W90))</f>
        <v/>
      </c>
      <c r="H69" s="83">
        <f>'Energy Data Entry'!AG90</f>
        <v>0</v>
      </c>
      <c r="I69" s="83" t="str">
        <f>IF(Table4[[#This Row],[Electric kWh usage]]="","",Table4[[#This Row],[Gas kWh usage]]+Table4[[#This Row],[Electric kWh usage]])</f>
        <v/>
      </c>
      <c r="J69" s="82" t="str">
        <f>IF(OR(Table4[[#This Row],[Electric kWh usage]]="",Table4[[#This Row],[Monthly Flow]]=""),"",(Table4[[#This Row],[Electric kWh usage]]+Table4[[#This Row],[Gas kWh usage]])/Table4[[#This Row],[Monthly Flow]])</f>
        <v/>
      </c>
      <c r="K69" s="84" t="str">
        <f>_xlfn.IFERROR(IF(Table4[[#This Row],[Electric kWh usage]]="","",(Table4[[#This Row],[Electric kWh usage]]+Table4[[#This Row],[Gas kWh usage]])/Table4[[#This Row],[Total BOD removed]]),"")</f>
        <v/>
      </c>
      <c r="L69" s="83" t="str">
        <f>IF('Energy Data Entry'!E90+'Energy Data Entry'!J90+'Energy Data Entry'!O90+'Energy Data Entry'!T90+'Energy Data Entry'!Y90=0,"",'Energy Data Entry'!E90+'Energy Data Entry'!J90+'Energy Data Entry'!O90+'Energy Data Entry'!T90+'Energy Data Entry'!Y90)</f>
        <v/>
      </c>
      <c r="M69" s="83" t="str">
        <f>IF('Energy Data Entry'!F90+'Energy Data Entry'!K90+'Energy Data Entry'!P90++'Energy Data Entry'!U90+'Energy Data Entry'!Z90=0,"",'Energy Data Entry'!F90+'Energy Data Entry'!K90+'Energy Data Entry'!P90++'Energy Data Entry'!U90+'Energy Data Entry'!Z90)</f>
        <v/>
      </c>
      <c r="N69" s="85" t="str">
        <f>IF('Energy Data Entry'!G90+'Energy Data Entry'!L90+'Energy Data Entry'!Q90+'Energy Data Entry'!V90+'Energy Data Entry'!AA90=0,"",'Energy Data Entry'!G90+'Energy Data Entry'!L90+'Energy Data Entry'!Q90+'Energy Data Entry'!V90+'Energy Data Entry'!AA90)</f>
        <v/>
      </c>
      <c r="O69" s="85" t="str">
        <f>IF('Energy Data Entry'!D90+'Energy Data Entry'!I90+'Energy Data Entry'!N90+'Energy Data Entry'!S90+'Energy Data Entry'!X90=0,"",'Energy Data Entry'!D90+'Energy Data Entry'!I90+'Energy Data Entry'!N90+'Energy Data Entry'!S90+'Energy Data Entry'!X90)</f>
        <v/>
      </c>
      <c r="P69" s="412">
        <f>'Energy Data Entry'!AF90</f>
        <v>0</v>
      </c>
      <c r="Q69" s="151" t="str">
        <f>_xlfn.IFERROR(Table4[[#This Row],[Total electric cost]]/Table4[[#This Row],[Electric kWh usage]],"")</f>
        <v/>
      </c>
      <c r="R69" s="151" t="str">
        <f>_xlfn.IFERROR(Table4[[#This Row],[Electric Demand Cost]]/Table4[[#This Row],[Total Electric Demand (Billed)]],_xlfn.IFERROR(Table4[[#This Row],[Electric Demand Cost]]/Table4[[#This Row],[Total Electric Demand (Actual)]],""))</f>
        <v/>
      </c>
      <c r="S69" s="85" t="str">
        <f>_xlfn.IFERROR(Table4[[#This Row],[Total Gas cost]]+Table4[[#This Row],[Total electric cost]],"")</f>
        <v/>
      </c>
      <c r="T69" s="111"/>
      <c r="U69" s="85" t="str">
        <f>_xlfn.IFERROR(Table4[[#This Row],[Total Energy Cost]]/Table4[[#This Row],[Monthly Flow]],"")</f>
        <v/>
      </c>
      <c r="V69" s="85" t="str">
        <f>_xlfn.IFERROR(Table4[[#This Row],[Total Energy Cost]]/Table4[[#This Row],[Total BOD removed]],"")</f>
        <v/>
      </c>
      <c r="W69" s="116"/>
      <c r="X69" s="86" t="str">
        <f>IF('Process Data Entry'!G71="","",'Process Data Entry'!G71)</f>
        <v/>
      </c>
      <c r="Y69" s="86" t="str">
        <f>IF('Process Data Entry'!H71="","",'Process Data Entry'!H71)</f>
        <v/>
      </c>
      <c r="Z69" s="86">
        <f>IF('Process Data Entry'!I71="",0,'Process Data Entry'!I71)</f>
        <v>0</v>
      </c>
      <c r="AA69" s="86" t="str">
        <f>IF('Process Data Entry'!J71="","",'Process Data Entry'!J71)</f>
        <v/>
      </c>
      <c r="AB69" s="86" t="str">
        <f>IF('Process Data Entry'!K71="","",'Process Data Entry'!K71)</f>
        <v/>
      </c>
      <c r="AC69" s="86" t="str">
        <f>IF('Process Data Entry'!L71="","",'Process Data Entry'!L71)</f>
        <v/>
      </c>
      <c r="AD69" s="87" t="str">
        <f t="shared" si="6"/>
        <v/>
      </c>
      <c r="AE69" s="87" t="str">
        <f t="shared" si="7"/>
        <v/>
      </c>
      <c r="AF69" s="150" t="str">
        <f>IF('Process Data Entry'!M71="","",'Process Data Entry'!M71)</f>
        <v/>
      </c>
      <c r="AG69" s="150" t="str">
        <f>IF('Process Data Entry'!N71="","",'Process Data Entry'!N71)</f>
        <v/>
      </c>
      <c r="AH69" s="81" t="str">
        <f t="shared" si="8"/>
        <v/>
      </c>
    </row>
    <row r="70" spans="1:34" ht="15">
      <c r="A70" s="78">
        <v>6</v>
      </c>
      <c r="B70" s="88">
        <f>'Energy Data Entry'!B91</f>
        <v>44958</v>
      </c>
      <c r="C70" s="80" t="str">
        <f>IF(OR('Process Data Entry'!C72="",'Process Data Entry'!C72=0),"",'Process Data Entry'!C72)</f>
        <v/>
      </c>
      <c r="D70" s="81" t="str">
        <f>IF(Table4[[#This Row],[Avg Daily Flow]]="","",_xlfn.DAYS(EOMONTH(B70,0),EOMONTH(B70,-1))*C70)</f>
        <v/>
      </c>
      <c r="E70" s="81" t="str">
        <f>IF('Process Data Entry'!F72="","",'Process Data Entry'!F72)</f>
        <v/>
      </c>
      <c r="F70" s="82" t="str">
        <f>IF(Table4[[#This Row],[BOD removed]]="","",Table4[[#This Row],[BOD removed]]*_xlfn.DAYS(EOMONTH(Table4[[#This Row],[Column2]],0),EOMONTH(Table4[[#This Row],[Column2]],-1)))</f>
        <v/>
      </c>
      <c r="G70" s="83" t="str">
        <f>IF(SUM('Energy Data Entry'!C91,'Energy Data Entry'!H91,'Energy Data Entry'!M91,'Energy Data Entry'!R91,'Energy Data Entry'!W91)=0,"",SUM('Energy Data Entry'!C91,'Energy Data Entry'!H91,'Energy Data Entry'!M91,'Energy Data Entry'!R91,'Energy Data Entry'!W91))</f>
        <v/>
      </c>
      <c r="H70" s="83">
        <f>'Energy Data Entry'!AG91</f>
        <v>0</v>
      </c>
      <c r="I70" s="83" t="str">
        <f>IF(Table4[[#This Row],[Electric kWh usage]]="","",Table4[[#This Row],[Gas kWh usage]]+Table4[[#This Row],[Electric kWh usage]])</f>
        <v/>
      </c>
      <c r="J70" s="82" t="str">
        <f>IF(OR(Table4[[#This Row],[Electric kWh usage]]="",Table4[[#This Row],[Monthly Flow]]=""),"",(Table4[[#This Row],[Electric kWh usage]]+Table4[[#This Row],[Gas kWh usage]])/Table4[[#This Row],[Monthly Flow]])</f>
        <v/>
      </c>
      <c r="K70" s="84" t="str">
        <f>_xlfn.IFERROR(IF(Table4[[#This Row],[Electric kWh usage]]="","",(Table4[[#This Row],[Electric kWh usage]]+Table4[[#This Row],[Gas kWh usage]])/Table4[[#This Row],[Total BOD removed]]),"")</f>
        <v/>
      </c>
      <c r="L70" s="83" t="str">
        <f>IF('Energy Data Entry'!E91+'Energy Data Entry'!J91+'Energy Data Entry'!O91+'Energy Data Entry'!T91+'Energy Data Entry'!Y91=0,"",'Energy Data Entry'!E91+'Energy Data Entry'!J91+'Energy Data Entry'!O91+'Energy Data Entry'!T91+'Energy Data Entry'!Y91)</f>
        <v/>
      </c>
      <c r="M70" s="83" t="str">
        <f>IF('Energy Data Entry'!F91+'Energy Data Entry'!K91+'Energy Data Entry'!P91++'Energy Data Entry'!U91+'Energy Data Entry'!Z91=0,"",'Energy Data Entry'!F91+'Energy Data Entry'!K91+'Energy Data Entry'!P91++'Energy Data Entry'!U91+'Energy Data Entry'!Z91)</f>
        <v/>
      </c>
      <c r="N70" s="85" t="str">
        <f>IF('Energy Data Entry'!G91+'Energy Data Entry'!L91+'Energy Data Entry'!Q91+'Energy Data Entry'!V91+'Energy Data Entry'!AA91=0,"",'Energy Data Entry'!G91+'Energy Data Entry'!L91+'Energy Data Entry'!Q91+'Energy Data Entry'!V91+'Energy Data Entry'!AA91)</f>
        <v/>
      </c>
      <c r="O70" s="85" t="str">
        <f>IF('Energy Data Entry'!D91+'Energy Data Entry'!I91+'Energy Data Entry'!N91+'Energy Data Entry'!S91+'Energy Data Entry'!X91=0,"",'Energy Data Entry'!D91+'Energy Data Entry'!I91+'Energy Data Entry'!N91+'Energy Data Entry'!S91+'Energy Data Entry'!X91)</f>
        <v/>
      </c>
      <c r="P70" s="412">
        <f>'Energy Data Entry'!AF91</f>
        <v>0</v>
      </c>
      <c r="Q70" s="151" t="str">
        <f>_xlfn.IFERROR(Table4[[#This Row],[Total electric cost]]/Table4[[#This Row],[Electric kWh usage]],"")</f>
        <v/>
      </c>
      <c r="R70" s="151" t="str">
        <f>_xlfn.IFERROR(Table4[[#This Row],[Electric Demand Cost]]/Table4[[#This Row],[Total Electric Demand (Billed)]],_xlfn.IFERROR(Table4[[#This Row],[Electric Demand Cost]]/Table4[[#This Row],[Total Electric Demand (Actual)]],""))</f>
        <v/>
      </c>
      <c r="S70" s="85" t="str">
        <f>_xlfn.IFERROR(Table4[[#This Row],[Total Gas cost]]+Table4[[#This Row],[Total electric cost]],"")</f>
        <v/>
      </c>
      <c r="T70" s="111"/>
      <c r="U70" s="85" t="str">
        <f>_xlfn.IFERROR(Table4[[#This Row],[Total Energy Cost]]/Table4[[#This Row],[Monthly Flow]],"")</f>
        <v/>
      </c>
      <c r="V70" s="85" t="str">
        <f>_xlfn.IFERROR(Table4[[#This Row],[Total Energy Cost]]/Table4[[#This Row],[Total BOD removed]],"")</f>
        <v/>
      </c>
      <c r="W70" s="116"/>
      <c r="X70" s="86" t="str">
        <f>IF('Process Data Entry'!G72="","",'Process Data Entry'!G72)</f>
        <v/>
      </c>
      <c r="Y70" s="86" t="str">
        <f>IF('Process Data Entry'!H72="","",'Process Data Entry'!H72)</f>
        <v/>
      </c>
      <c r="Z70" s="86">
        <f>IF('Process Data Entry'!I72="",0,'Process Data Entry'!I72)</f>
        <v>0</v>
      </c>
      <c r="AA70" s="86" t="str">
        <f>IF('Process Data Entry'!J72="","",'Process Data Entry'!J72)</f>
        <v/>
      </c>
      <c r="AB70" s="86" t="str">
        <f>IF('Process Data Entry'!K72="","",'Process Data Entry'!K72)</f>
        <v/>
      </c>
      <c r="AC70" s="86" t="str">
        <f>IF('Process Data Entry'!L72="","",'Process Data Entry'!L72)</f>
        <v/>
      </c>
      <c r="AD70" s="87" t="str">
        <f t="shared" si="6"/>
        <v/>
      </c>
      <c r="AE70" s="87" t="str">
        <f t="shared" si="7"/>
        <v/>
      </c>
      <c r="AF70" s="150" t="str">
        <f>IF('Process Data Entry'!M72="","",'Process Data Entry'!M72)</f>
        <v/>
      </c>
      <c r="AG70" s="150" t="str">
        <f>IF('Process Data Entry'!N72="","",'Process Data Entry'!N72)</f>
        <v/>
      </c>
      <c r="AH70" s="81" t="str">
        <f t="shared" si="8"/>
        <v/>
      </c>
    </row>
    <row r="71" spans="1:34" ht="15">
      <c r="A71" s="78">
        <v>6</v>
      </c>
      <c r="B71" s="88">
        <f>'Energy Data Entry'!B92</f>
        <v>44986</v>
      </c>
      <c r="C71" s="80" t="str">
        <f>IF(OR('Process Data Entry'!C73="",'Process Data Entry'!C73=0),"",'Process Data Entry'!C73)</f>
        <v/>
      </c>
      <c r="D71" s="81" t="str">
        <f>IF(Table4[[#This Row],[Avg Daily Flow]]="","",_xlfn.DAYS(EOMONTH(B71,0),EOMONTH(B71,-1))*C71)</f>
        <v/>
      </c>
      <c r="E71" s="81" t="str">
        <f>IF('Process Data Entry'!F73="","",'Process Data Entry'!F73)</f>
        <v/>
      </c>
      <c r="F71" s="82" t="str">
        <f>IF(Table4[[#This Row],[BOD removed]]="","",Table4[[#This Row],[BOD removed]]*_xlfn.DAYS(EOMONTH(Table4[[#This Row],[Column2]],0),EOMONTH(Table4[[#This Row],[Column2]],-1)))</f>
        <v/>
      </c>
      <c r="G71" s="83" t="str">
        <f>IF(SUM('Energy Data Entry'!C92,'Energy Data Entry'!H92,'Energy Data Entry'!M92,'Energy Data Entry'!R92,'Energy Data Entry'!W92)=0,"",SUM('Energy Data Entry'!C92,'Energy Data Entry'!H92,'Energy Data Entry'!M92,'Energy Data Entry'!R92,'Energy Data Entry'!W92))</f>
        <v/>
      </c>
      <c r="H71" s="83">
        <f>'Energy Data Entry'!AG92</f>
        <v>0</v>
      </c>
      <c r="I71" s="83" t="str">
        <f>IF(Table4[[#This Row],[Electric kWh usage]]="","",Table4[[#This Row],[Gas kWh usage]]+Table4[[#This Row],[Electric kWh usage]])</f>
        <v/>
      </c>
      <c r="J71" s="82" t="str">
        <f>IF(OR(Table4[[#This Row],[Electric kWh usage]]="",Table4[[#This Row],[Monthly Flow]]=""),"",(Table4[[#This Row],[Electric kWh usage]]+Table4[[#This Row],[Gas kWh usage]])/Table4[[#This Row],[Monthly Flow]])</f>
        <v/>
      </c>
      <c r="K71" s="84" t="str">
        <f>_xlfn.IFERROR(IF(Table4[[#This Row],[Electric kWh usage]]="","",(Table4[[#This Row],[Electric kWh usage]]+Table4[[#This Row],[Gas kWh usage]])/Table4[[#This Row],[Total BOD removed]]),"")</f>
        <v/>
      </c>
      <c r="L71" s="83" t="str">
        <f>IF('Energy Data Entry'!E92+'Energy Data Entry'!J92+'Energy Data Entry'!O92+'Energy Data Entry'!T92+'Energy Data Entry'!Y92=0,"",'Energy Data Entry'!E92+'Energy Data Entry'!J92+'Energy Data Entry'!O92+'Energy Data Entry'!T92+'Energy Data Entry'!Y92)</f>
        <v/>
      </c>
      <c r="M71" s="83" t="str">
        <f>IF('Energy Data Entry'!F92+'Energy Data Entry'!K92+'Energy Data Entry'!P92++'Energy Data Entry'!U92+'Energy Data Entry'!Z92=0,"",'Energy Data Entry'!F92+'Energy Data Entry'!K92+'Energy Data Entry'!P92++'Energy Data Entry'!U92+'Energy Data Entry'!Z92)</f>
        <v/>
      </c>
      <c r="N71" s="85" t="str">
        <f>IF('Energy Data Entry'!G92+'Energy Data Entry'!L92+'Energy Data Entry'!Q92+'Energy Data Entry'!V92+'Energy Data Entry'!AA92=0,"",'Energy Data Entry'!G92+'Energy Data Entry'!L92+'Energy Data Entry'!Q92+'Energy Data Entry'!V92+'Energy Data Entry'!AA92)</f>
        <v/>
      </c>
      <c r="O71" s="85" t="str">
        <f>IF('Energy Data Entry'!D92+'Energy Data Entry'!I92+'Energy Data Entry'!N92+'Energy Data Entry'!S92+'Energy Data Entry'!X92=0,"",'Energy Data Entry'!D92+'Energy Data Entry'!I92+'Energy Data Entry'!N92+'Energy Data Entry'!S92+'Energy Data Entry'!X92)</f>
        <v/>
      </c>
      <c r="P71" s="412">
        <f>'Energy Data Entry'!AF92</f>
        <v>0</v>
      </c>
      <c r="Q71" s="151" t="str">
        <f>_xlfn.IFERROR(Table4[[#This Row],[Total electric cost]]/Table4[[#This Row],[Electric kWh usage]],"")</f>
        <v/>
      </c>
      <c r="R71" s="151" t="str">
        <f>_xlfn.IFERROR(Table4[[#This Row],[Electric Demand Cost]]/Table4[[#This Row],[Total Electric Demand (Billed)]],_xlfn.IFERROR(Table4[[#This Row],[Electric Demand Cost]]/Table4[[#This Row],[Total Electric Demand (Actual)]],""))</f>
        <v/>
      </c>
      <c r="S71" s="85" t="str">
        <f>_xlfn.IFERROR(Table4[[#This Row],[Total Gas cost]]+Table4[[#This Row],[Total electric cost]],"")</f>
        <v/>
      </c>
      <c r="T71" s="111"/>
      <c r="U71" s="85" t="str">
        <f>_xlfn.IFERROR(Table4[[#This Row],[Total Energy Cost]]/Table4[[#This Row],[Monthly Flow]],"")</f>
        <v/>
      </c>
      <c r="V71" s="85" t="str">
        <f>_xlfn.IFERROR(Table4[[#This Row],[Total Energy Cost]]/Table4[[#This Row],[Total BOD removed]],"")</f>
        <v/>
      </c>
      <c r="W71" s="116"/>
      <c r="X71" s="86" t="str">
        <f>IF('Process Data Entry'!G73="","",'Process Data Entry'!G73)</f>
        <v/>
      </c>
      <c r="Y71" s="86" t="str">
        <f>IF('Process Data Entry'!H73="","",'Process Data Entry'!H73)</f>
        <v/>
      </c>
      <c r="Z71" s="86">
        <f>IF('Process Data Entry'!I73="",0,'Process Data Entry'!I73)</f>
        <v>0</v>
      </c>
      <c r="AA71" s="86" t="str">
        <f>IF('Process Data Entry'!J73="","",'Process Data Entry'!J73)</f>
        <v/>
      </c>
      <c r="AB71" s="86" t="str">
        <f>IF('Process Data Entry'!K73="","",'Process Data Entry'!K73)</f>
        <v/>
      </c>
      <c r="AC71" s="86" t="str">
        <f>IF('Process Data Entry'!L73="","",'Process Data Entry'!L73)</f>
        <v/>
      </c>
      <c r="AD71" s="87" t="str">
        <f t="shared" si="6"/>
        <v/>
      </c>
      <c r="AE71" s="87" t="str">
        <f t="shared" si="7"/>
        <v/>
      </c>
      <c r="AF71" s="150" t="str">
        <f>IF('Process Data Entry'!M73="","",'Process Data Entry'!M73)</f>
        <v/>
      </c>
      <c r="AG71" s="150" t="str">
        <f>IF('Process Data Entry'!N73="","",'Process Data Entry'!N73)</f>
        <v/>
      </c>
      <c r="AH71" s="81" t="str">
        <f t="shared" si="8"/>
        <v/>
      </c>
    </row>
    <row r="72" spans="1:34" ht="15">
      <c r="A72" s="78">
        <v>6</v>
      </c>
      <c r="B72" s="88">
        <f>'Energy Data Entry'!B93</f>
        <v>45017</v>
      </c>
      <c r="C72" s="80" t="str">
        <f>IF(OR('Process Data Entry'!C74="",'Process Data Entry'!C74=0),"",'Process Data Entry'!C74)</f>
        <v/>
      </c>
      <c r="D72" s="81" t="str">
        <f>IF(Table4[[#This Row],[Avg Daily Flow]]="","",_xlfn.DAYS(EOMONTH(B72,0),EOMONTH(B72,-1))*C72)</f>
        <v/>
      </c>
      <c r="E72" s="81" t="str">
        <f>IF('Process Data Entry'!F74="","",'Process Data Entry'!F74)</f>
        <v/>
      </c>
      <c r="F72" s="82" t="str">
        <f>IF(Table4[[#This Row],[BOD removed]]="","",Table4[[#This Row],[BOD removed]]*_xlfn.DAYS(EOMONTH(Table4[[#This Row],[Column2]],0),EOMONTH(Table4[[#This Row],[Column2]],-1)))</f>
        <v/>
      </c>
      <c r="G72" s="83" t="str">
        <f>IF(SUM('Energy Data Entry'!C93,'Energy Data Entry'!H93,'Energy Data Entry'!M93,'Energy Data Entry'!R93,'Energy Data Entry'!W93)=0,"",SUM('Energy Data Entry'!C93,'Energy Data Entry'!H93,'Energy Data Entry'!M93,'Energy Data Entry'!R93,'Energy Data Entry'!W93))</f>
        <v/>
      </c>
      <c r="H72" s="83">
        <f>'Energy Data Entry'!AG93</f>
        <v>0</v>
      </c>
      <c r="I72" s="83" t="str">
        <f>IF(Table4[[#This Row],[Electric kWh usage]]="","",Table4[[#This Row],[Gas kWh usage]]+Table4[[#This Row],[Electric kWh usage]])</f>
        <v/>
      </c>
      <c r="J72" s="82" t="str">
        <f>IF(OR(Table4[[#This Row],[Electric kWh usage]]="",Table4[[#This Row],[Monthly Flow]]=""),"",(Table4[[#This Row],[Electric kWh usage]]+Table4[[#This Row],[Gas kWh usage]])/Table4[[#This Row],[Monthly Flow]])</f>
        <v/>
      </c>
      <c r="K72" s="84" t="str">
        <f>_xlfn.IFERROR(IF(Table4[[#This Row],[Electric kWh usage]]="","",(Table4[[#This Row],[Electric kWh usage]]+Table4[[#This Row],[Gas kWh usage]])/Table4[[#This Row],[Total BOD removed]]),"")</f>
        <v/>
      </c>
      <c r="L72" s="83" t="str">
        <f>IF('Energy Data Entry'!E93+'Energy Data Entry'!J93+'Energy Data Entry'!O93+'Energy Data Entry'!T93+'Energy Data Entry'!Y93=0,"",'Energy Data Entry'!E93+'Energy Data Entry'!J93+'Energy Data Entry'!O93+'Energy Data Entry'!T93+'Energy Data Entry'!Y93)</f>
        <v/>
      </c>
      <c r="M72" s="83" t="str">
        <f>IF('Energy Data Entry'!F93+'Energy Data Entry'!K93+'Energy Data Entry'!P93++'Energy Data Entry'!U93+'Energy Data Entry'!Z93=0,"",'Energy Data Entry'!F93+'Energy Data Entry'!K93+'Energy Data Entry'!P93++'Energy Data Entry'!U93+'Energy Data Entry'!Z93)</f>
        <v/>
      </c>
      <c r="N72" s="85" t="str">
        <f>IF('Energy Data Entry'!G93+'Energy Data Entry'!L93+'Energy Data Entry'!Q93+'Energy Data Entry'!V93+'Energy Data Entry'!AA93=0,"",'Energy Data Entry'!G93+'Energy Data Entry'!L93+'Energy Data Entry'!Q93+'Energy Data Entry'!V93+'Energy Data Entry'!AA93)</f>
        <v/>
      </c>
      <c r="O72" s="85" t="str">
        <f>IF('Energy Data Entry'!D93+'Energy Data Entry'!I93+'Energy Data Entry'!N93+'Energy Data Entry'!S93+'Energy Data Entry'!X93=0,"",'Energy Data Entry'!D93+'Energy Data Entry'!I93+'Energy Data Entry'!N93+'Energy Data Entry'!S93+'Energy Data Entry'!X93)</f>
        <v/>
      </c>
      <c r="P72" s="412">
        <f>'Energy Data Entry'!AF93</f>
        <v>0</v>
      </c>
      <c r="Q72" s="151" t="str">
        <f>_xlfn.IFERROR(Table4[[#This Row],[Total electric cost]]/Table4[[#This Row],[Electric kWh usage]],"")</f>
        <v/>
      </c>
      <c r="R72" s="151" t="str">
        <f>_xlfn.IFERROR(Table4[[#This Row],[Electric Demand Cost]]/Table4[[#This Row],[Total Electric Demand (Billed)]],_xlfn.IFERROR(Table4[[#This Row],[Electric Demand Cost]]/Table4[[#This Row],[Total Electric Demand (Actual)]],""))</f>
        <v/>
      </c>
      <c r="S72" s="85" t="str">
        <f>_xlfn.IFERROR(Table4[[#This Row],[Total Gas cost]]+Table4[[#This Row],[Total electric cost]],"")</f>
        <v/>
      </c>
      <c r="T72" s="111"/>
      <c r="U72" s="85" t="str">
        <f>_xlfn.IFERROR(Table4[[#This Row],[Total Energy Cost]]/Table4[[#This Row],[Monthly Flow]],"")</f>
        <v/>
      </c>
      <c r="V72" s="85" t="str">
        <f>_xlfn.IFERROR(Table4[[#This Row],[Total Energy Cost]]/Table4[[#This Row],[Total BOD removed]],"")</f>
        <v/>
      </c>
      <c r="W72" s="116"/>
      <c r="X72" s="86" t="str">
        <f>IF('Process Data Entry'!G74="","",'Process Data Entry'!G74)</f>
        <v/>
      </c>
      <c r="Y72" s="86" t="str">
        <f>IF('Process Data Entry'!H74="","",'Process Data Entry'!H74)</f>
        <v/>
      </c>
      <c r="Z72" s="86">
        <f>IF('Process Data Entry'!I74="",0,'Process Data Entry'!I74)</f>
        <v>0</v>
      </c>
      <c r="AA72" s="86" t="str">
        <f>IF('Process Data Entry'!J74="","",'Process Data Entry'!J74)</f>
        <v/>
      </c>
      <c r="AB72" s="86" t="str">
        <f>IF('Process Data Entry'!K74="","",'Process Data Entry'!K74)</f>
        <v/>
      </c>
      <c r="AC72" s="86" t="str">
        <f>IF('Process Data Entry'!L74="","",'Process Data Entry'!L74)</f>
        <v/>
      </c>
      <c r="AD72" s="87" t="str">
        <f t="shared" si="6"/>
        <v/>
      </c>
      <c r="AE72" s="87" t="str">
        <f t="shared" si="7"/>
        <v/>
      </c>
      <c r="AF72" s="150" t="str">
        <f>IF('Process Data Entry'!M74="","",'Process Data Entry'!M74)</f>
        <v/>
      </c>
      <c r="AG72" s="150" t="str">
        <f>IF('Process Data Entry'!N74="","",'Process Data Entry'!N74)</f>
        <v/>
      </c>
      <c r="AH72" s="81" t="str">
        <f t="shared" si="8"/>
        <v/>
      </c>
    </row>
    <row r="73" spans="1:34" ht="15">
      <c r="A73" s="78">
        <v>6</v>
      </c>
      <c r="B73" s="88">
        <f>'Energy Data Entry'!B94</f>
        <v>45047</v>
      </c>
      <c r="C73" s="80" t="str">
        <f>IF(OR('Process Data Entry'!C75="",'Process Data Entry'!C75=0),"",'Process Data Entry'!C75)</f>
        <v/>
      </c>
      <c r="D73" s="81" t="str">
        <f>IF(Table4[[#This Row],[Avg Daily Flow]]="","",_xlfn.DAYS(EOMONTH(B73,0),EOMONTH(B73,-1))*C73)</f>
        <v/>
      </c>
      <c r="E73" s="81" t="str">
        <f>IF('Process Data Entry'!F75="","",'Process Data Entry'!F75)</f>
        <v/>
      </c>
      <c r="F73" s="82" t="str">
        <f>IF(Table4[[#This Row],[BOD removed]]="","",Table4[[#This Row],[BOD removed]]*_xlfn.DAYS(EOMONTH(Table4[[#This Row],[Column2]],0),EOMONTH(Table4[[#This Row],[Column2]],-1)))</f>
        <v/>
      </c>
      <c r="G73" s="83" t="str">
        <f>IF(SUM('Energy Data Entry'!C94,'Energy Data Entry'!H94,'Energy Data Entry'!M94,'Energy Data Entry'!R94,'Energy Data Entry'!W94)=0,"",SUM('Energy Data Entry'!C94,'Energy Data Entry'!H94,'Energy Data Entry'!M94,'Energy Data Entry'!R94,'Energy Data Entry'!W94))</f>
        <v/>
      </c>
      <c r="H73" s="83">
        <f>'Energy Data Entry'!AG94</f>
        <v>0</v>
      </c>
      <c r="I73" s="83" t="str">
        <f>IF(Table4[[#This Row],[Electric kWh usage]]="","",Table4[[#This Row],[Gas kWh usage]]+Table4[[#This Row],[Electric kWh usage]])</f>
        <v/>
      </c>
      <c r="J73" s="82" t="str">
        <f>IF(OR(Table4[[#This Row],[Electric kWh usage]]="",Table4[[#This Row],[Monthly Flow]]=""),"",(Table4[[#This Row],[Electric kWh usage]]+Table4[[#This Row],[Gas kWh usage]])/Table4[[#This Row],[Monthly Flow]])</f>
        <v/>
      </c>
      <c r="K73" s="84" t="str">
        <f>_xlfn.IFERROR(IF(Table4[[#This Row],[Electric kWh usage]]="","",(Table4[[#This Row],[Electric kWh usage]]+Table4[[#This Row],[Gas kWh usage]])/Table4[[#This Row],[Total BOD removed]]),"")</f>
        <v/>
      </c>
      <c r="L73" s="83" t="str">
        <f>IF('Energy Data Entry'!E94+'Energy Data Entry'!J94+'Energy Data Entry'!O94+'Energy Data Entry'!T94+'Energy Data Entry'!Y94=0,"",'Energy Data Entry'!E94+'Energy Data Entry'!J94+'Energy Data Entry'!O94+'Energy Data Entry'!T94+'Energy Data Entry'!Y94)</f>
        <v/>
      </c>
      <c r="M73" s="83" t="str">
        <f>IF('Energy Data Entry'!F94+'Energy Data Entry'!K94+'Energy Data Entry'!P94++'Energy Data Entry'!U94+'Energy Data Entry'!Z94=0,"",'Energy Data Entry'!F94+'Energy Data Entry'!K94+'Energy Data Entry'!P94++'Energy Data Entry'!U94+'Energy Data Entry'!Z94)</f>
        <v/>
      </c>
      <c r="N73" s="85" t="str">
        <f>IF('Energy Data Entry'!G94+'Energy Data Entry'!L94+'Energy Data Entry'!Q94+'Energy Data Entry'!V94+'Energy Data Entry'!AA94=0,"",'Energy Data Entry'!G94+'Energy Data Entry'!L94+'Energy Data Entry'!Q94+'Energy Data Entry'!V94+'Energy Data Entry'!AA94)</f>
        <v/>
      </c>
      <c r="O73" s="85" t="str">
        <f>IF('Energy Data Entry'!D94+'Energy Data Entry'!I94+'Energy Data Entry'!N94+'Energy Data Entry'!S94+'Energy Data Entry'!X94=0,"",'Energy Data Entry'!D94+'Energy Data Entry'!I94+'Energy Data Entry'!N94+'Energy Data Entry'!S94+'Energy Data Entry'!X94)</f>
        <v/>
      </c>
      <c r="P73" s="412">
        <f>'Energy Data Entry'!AF94</f>
        <v>0</v>
      </c>
      <c r="Q73" s="151" t="str">
        <f>_xlfn.IFERROR(Table4[[#This Row],[Total electric cost]]/Table4[[#This Row],[Electric kWh usage]],"")</f>
        <v/>
      </c>
      <c r="R73" s="151" t="str">
        <f>_xlfn.IFERROR(Table4[[#This Row],[Electric Demand Cost]]/Table4[[#This Row],[Total Electric Demand (Billed)]],_xlfn.IFERROR(Table4[[#This Row],[Electric Demand Cost]]/Table4[[#This Row],[Total Electric Demand (Actual)]],""))</f>
        <v/>
      </c>
      <c r="S73" s="85" t="str">
        <f>_xlfn.IFERROR(Table4[[#This Row],[Total Gas cost]]+Table4[[#This Row],[Total electric cost]],"")</f>
        <v/>
      </c>
      <c r="T73" s="111"/>
      <c r="U73" s="85" t="str">
        <f>_xlfn.IFERROR(Table4[[#This Row],[Total Energy Cost]]/Table4[[#This Row],[Monthly Flow]],"")</f>
        <v/>
      </c>
      <c r="V73" s="85" t="str">
        <f>_xlfn.IFERROR(Table4[[#This Row],[Total Energy Cost]]/Table4[[#This Row],[Total BOD removed]],"")</f>
        <v/>
      </c>
      <c r="W73" s="116"/>
      <c r="X73" s="86" t="str">
        <f>IF('Process Data Entry'!G75="","",'Process Data Entry'!G75)</f>
        <v/>
      </c>
      <c r="Y73" s="86" t="str">
        <f>IF('Process Data Entry'!H75="","",'Process Data Entry'!H75)</f>
        <v/>
      </c>
      <c r="Z73" s="86">
        <f>IF('Process Data Entry'!I75="",0,'Process Data Entry'!I75)</f>
        <v>0</v>
      </c>
      <c r="AA73" s="86" t="str">
        <f>IF('Process Data Entry'!J75="","",'Process Data Entry'!J75)</f>
        <v/>
      </c>
      <c r="AB73" s="86" t="str">
        <f>IF('Process Data Entry'!K75="","",'Process Data Entry'!K75)</f>
        <v/>
      </c>
      <c r="AC73" s="86" t="str">
        <f>IF('Process Data Entry'!L75="","",'Process Data Entry'!L75)</f>
        <v/>
      </c>
      <c r="AD73" s="87" t="str">
        <f t="shared" si="6"/>
        <v/>
      </c>
      <c r="AE73" s="87" t="str">
        <f t="shared" si="7"/>
        <v/>
      </c>
      <c r="AF73" s="150" t="str">
        <f>IF('Process Data Entry'!M75="","",'Process Data Entry'!M75)</f>
        <v/>
      </c>
      <c r="AG73" s="150" t="str">
        <f>IF('Process Data Entry'!N75="","",'Process Data Entry'!N75)</f>
        <v/>
      </c>
      <c r="AH73" s="81" t="str">
        <f t="shared" si="8"/>
        <v/>
      </c>
    </row>
    <row r="74" spans="1:34" ht="15">
      <c r="A74" s="78">
        <v>6</v>
      </c>
      <c r="B74" s="88">
        <f>'Energy Data Entry'!B95</f>
        <v>45078</v>
      </c>
      <c r="C74" s="80" t="str">
        <f>IF(OR('Process Data Entry'!C76="",'Process Data Entry'!C76=0),"",'Process Data Entry'!C76)</f>
        <v/>
      </c>
      <c r="D74" s="81" t="str">
        <f>IF(Table4[[#This Row],[Avg Daily Flow]]="","",_xlfn.DAYS(EOMONTH(B74,0),EOMONTH(B74,-1))*C74)</f>
        <v/>
      </c>
      <c r="E74" s="81" t="str">
        <f>IF('Process Data Entry'!F76="","",'Process Data Entry'!F76)</f>
        <v/>
      </c>
      <c r="F74" s="82" t="str">
        <f>IF(Table4[[#This Row],[BOD removed]]="","",Table4[[#This Row],[BOD removed]]*_xlfn.DAYS(EOMONTH(Table4[[#This Row],[Column2]],0),EOMONTH(Table4[[#This Row],[Column2]],-1)))</f>
        <v/>
      </c>
      <c r="G74" s="83" t="str">
        <f>IF(SUM('Energy Data Entry'!C95,'Energy Data Entry'!H95,'Energy Data Entry'!M95,'Energy Data Entry'!R95,'Energy Data Entry'!W95)=0,"",SUM('Energy Data Entry'!C95,'Energy Data Entry'!H95,'Energy Data Entry'!M95,'Energy Data Entry'!R95,'Energy Data Entry'!W95))</f>
        <v/>
      </c>
      <c r="H74" s="83">
        <f>'Energy Data Entry'!AG95</f>
        <v>0</v>
      </c>
      <c r="I74" s="83" t="str">
        <f>IF(Table4[[#This Row],[Electric kWh usage]]="","",Table4[[#This Row],[Gas kWh usage]]+Table4[[#This Row],[Electric kWh usage]])</f>
        <v/>
      </c>
      <c r="J74" s="82" t="str">
        <f>IF(OR(Table4[[#This Row],[Electric kWh usage]]="",Table4[[#This Row],[Monthly Flow]]=""),"",(Table4[[#This Row],[Electric kWh usage]]+Table4[[#This Row],[Gas kWh usage]])/Table4[[#This Row],[Monthly Flow]])</f>
        <v/>
      </c>
      <c r="K74" s="84" t="str">
        <f>_xlfn.IFERROR(IF(Table4[[#This Row],[Electric kWh usage]]="","",(Table4[[#This Row],[Electric kWh usage]]+Table4[[#This Row],[Gas kWh usage]])/Table4[[#This Row],[Total BOD removed]]),"")</f>
        <v/>
      </c>
      <c r="L74" s="83" t="str">
        <f>IF('Energy Data Entry'!E95+'Energy Data Entry'!J95+'Energy Data Entry'!O95+'Energy Data Entry'!T95+'Energy Data Entry'!Y95=0,"",'Energy Data Entry'!E95+'Energy Data Entry'!J95+'Energy Data Entry'!O95+'Energy Data Entry'!T95+'Energy Data Entry'!Y95)</f>
        <v/>
      </c>
      <c r="M74" s="83" t="str">
        <f>IF('Energy Data Entry'!F95+'Energy Data Entry'!K95+'Energy Data Entry'!P95++'Energy Data Entry'!U95+'Energy Data Entry'!Z95=0,"",'Energy Data Entry'!F95+'Energy Data Entry'!K95+'Energy Data Entry'!P95++'Energy Data Entry'!U95+'Energy Data Entry'!Z95)</f>
        <v/>
      </c>
      <c r="N74" s="85" t="str">
        <f>IF('Energy Data Entry'!G95+'Energy Data Entry'!L95+'Energy Data Entry'!Q95+'Energy Data Entry'!V95+'Energy Data Entry'!AA95=0,"",'Energy Data Entry'!G95+'Energy Data Entry'!L95+'Energy Data Entry'!Q95+'Energy Data Entry'!V95+'Energy Data Entry'!AA95)</f>
        <v/>
      </c>
      <c r="O74" s="85" t="str">
        <f>IF('Energy Data Entry'!D95+'Energy Data Entry'!I95+'Energy Data Entry'!N95+'Energy Data Entry'!S95+'Energy Data Entry'!X95=0,"",'Energy Data Entry'!D95+'Energy Data Entry'!I95+'Energy Data Entry'!N95+'Energy Data Entry'!S95+'Energy Data Entry'!X95)</f>
        <v/>
      </c>
      <c r="P74" s="412">
        <f>'Energy Data Entry'!AF95</f>
        <v>0</v>
      </c>
      <c r="Q74" s="151" t="str">
        <f>_xlfn.IFERROR(Table4[[#This Row],[Total electric cost]]/Table4[[#This Row],[Electric kWh usage]],"")</f>
        <v/>
      </c>
      <c r="R74" s="151" t="str">
        <f>_xlfn.IFERROR(Table4[[#This Row],[Electric Demand Cost]]/Table4[[#This Row],[Total Electric Demand (Billed)]],_xlfn.IFERROR(Table4[[#This Row],[Electric Demand Cost]]/Table4[[#This Row],[Total Electric Demand (Actual)]],""))</f>
        <v/>
      </c>
      <c r="S74" s="85" t="str">
        <f>_xlfn.IFERROR(Table4[[#This Row],[Total Gas cost]]+Table4[[#This Row],[Total electric cost]],"")</f>
        <v/>
      </c>
      <c r="T74" s="111"/>
      <c r="U74" s="85" t="str">
        <f>_xlfn.IFERROR(Table4[[#This Row],[Total Energy Cost]]/Table4[[#This Row],[Monthly Flow]],"")</f>
        <v/>
      </c>
      <c r="V74" s="85" t="str">
        <f>_xlfn.IFERROR(Table4[[#This Row],[Total Energy Cost]]/Table4[[#This Row],[Total BOD removed]],"")</f>
        <v/>
      </c>
      <c r="W74" s="116"/>
      <c r="X74" s="86" t="str">
        <f>IF('Process Data Entry'!G76="","",'Process Data Entry'!G76)</f>
        <v/>
      </c>
      <c r="Y74" s="86" t="str">
        <f>IF('Process Data Entry'!H76="","",'Process Data Entry'!H76)</f>
        <v/>
      </c>
      <c r="Z74" s="86">
        <f>IF('Process Data Entry'!I76="",0,'Process Data Entry'!I76)</f>
        <v>0</v>
      </c>
      <c r="AA74" s="86" t="str">
        <f>IF('Process Data Entry'!J76="","",'Process Data Entry'!J76)</f>
        <v/>
      </c>
      <c r="AB74" s="86" t="str">
        <f>IF('Process Data Entry'!K76="","",'Process Data Entry'!K76)</f>
        <v/>
      </c>
      <c r="AC74" s="86" t="str">
        <f>IF('Process Data Entry'!L76="","",'Process Data Entry'!L76)</f>
        <v/>
      </c>
      <c r="AD74" s="87" t="str">
        <f t="shared" si="6"/>
        <v/>
      </c>
      <c r="AE74" s="87" t="str">
        <f t="shared" si="7"/>
        <v/>
      </c>
      <c r="AF74" s="150" t="str">
        <f>IF('Process Data Entry'!M76="","",'Process Data Entry'!M76)</f>
        <v/>
      </c>
      <c r="AG74" s="150" t="str">
        <f>IF('Process Data Entry'!N76="","",'Process Data Entry'!N76)</f>
        <v/>
      </c>
      <c r="AH74" s="81" t="str">
        <f t="shared" si="8"/>
        <v/>
      </c>
    </row>
    <row r="75" spans="1:34" s="105" customFormat="1" ht="15" thickBot="1">
      <c r="A75" s="97">
        <v>6</v>
      </c>
      <c r="B75" s="107">
        <f>'Energy Data Entry'!B96</f>
        <v>45108</v>
      </c>
      <c r="C75" s="361" t="str">
        <f>IF(OR('Process Data Entry'!C77="",'Process Data Entry'!C77=0),"",'Process Data Entry'!C77)</f>
        <v/>
      </c>
      <c r="D75" s="99" t="str">
        <f>IF(Table4[[#This Row],[Avg Daily Flow]]="","",_xlfn.DAYS(EOMONTH(B75,0),EOMONTH(B75,-1))*C75)</f>
        <v/>
      </c>
      <c r="E75" s="99" t="str">
        <f>IF('Process Data Entry'!F77="","",'Process Data Entry'!F77)</f>
        <v/>
      </c>
      <c r="F75" s="100" t="str">
        <f>IF(Table4[[#This Row],[BOD removed]]="","",Table4[[#This Row],[BOD removed]]*_xlfn.DAYS(EOMONTH(Table4[[#This Row],[Column2]],0),EOMONTH(Table4[[#This Row],[Column2]],-1)))</f>
        <v/>
      </c>
      <c r="G75" s="101" t="str">
        <f>IF(SUM('Energy Data Entry'!C96,'Energy Data Entry'!H96,'Energy Data Entry'!M96,'Energy Data Entry'!R96,'Energy Data Entry'!W96)=0,"",SUM('Energy Data Entry'!C96,'Energy Data Entry'!H96,'Energy Data Entry'!M96,'Energy Data Entry'!R96,'Energy Data Entry'!W96))</f>
        <v/>
      </c>
      <c r="H75" s="101">
        <f>'Energy Data Entry'!AG96</f>
        <v>0</v>
      </c>
      <c r="I75" s="101" t="str">
        <f>IF(Table4[[#This Row],[Electric kWh usage]]="","",Table4[[#This Row],[Gas kWh usage]]+Table4[[#This Row],[Electric kWh usage]])</f>
        <v/>
      </c>
      <c r="J75" s="100" t="str">
        <f>IF(OR(Table4[[#This Row],[Electric kWh usage]]="",Table4[[#This Row],[Monthly Flow]]=""),"",(Table4[[#This Row],[Electric kWh usage]]+Table4[[#This Row],[Gas kWh usage]])/Table4[[#This Row],[Monthly Flow]])</f>
        <v/>
      </c>
      <c r="K75" s="102" t="str">
        <f>_xlfn.IFERROR(IF(Table4[[#This Row],[Electric kWh usage]]="","",(Table4[[#This Row],[Electric kWh usage]]+Table4[[#This Row],[Gas kWh usage]])/Table4[[#This Row],[Total BOD removed]]),"")</f>
        <v/>
      </c>
      <c r="L75" s="101" t="str">
        <f>IF('Energy Data Entry'!E96+'Energy Data Entry'!J96+'Energy Data Entry'!O96+'Energy Data Entry'!T96+'Energy Data Entry'!Y96=0,"",'Energy Data Entry'!E96+'Energy Data Entry'!J96+'Energy Data Entry'!O96+'Energy Data Entry'!T96+'Energy Data Entry'!Y96)</f>
        <v/>
      </c>
      <c r="M75" s="101" t="str">
        <f>IF('Energy Data Entry'!F96+'Energy Data Entry'!K96+'Energy Data Entry'!P96++'Energy Data Entry'!U96+'Energy Data Entry'!Z96=0,"",'Energy Data Entry'!F96+'Energy Data Entry'!K96+'Energy Data Entry'!P96++'Energy Data Entry'!U96+'Energy Data Entry'!Z96)</f>
        <v/>
      </c>
      <c r="N75" s="103" t="str">
        <f>IF('Energy Data Entry'!G96+'Energy Data Entry'!L96+'Energy Data Entry'!Q96+'Energy Data Entry'!V96+'Energy Data Entry'!AA96=0,"",'Energy Data Entry'!G96+'Energy Data Entry'!L96+'Energy Data Entry'!Q96+'Energy Data Entry'!V96+'Energy Data Entry'!AA96)</f>
        <v/>
      </c>
      <c r="O75" s="103" t="str">
        <f>IF('Energy Data Entry'!D96+'Energy Data Entry'!I96+'Energy Data Entry'!N96+'Energy Data Entry'!S96+'Energy Data Entry'!X96=0,"",'Energy Data Entry'!D96+'Energy Data Entry'!I96+'Energy Data Entry'!N96+'Energy Data Entry'!S96+'Energy Data Entry'!X96)</f>
        <v/>
      </c>
      <c r="P75" s="413">
        <f>'Energy Data Entry'!AF96</f>
        <v>0</v>
      </c>
      <c r="Q75" s="152" t="str">
        <f>_xlfn.IFERROR(Table4[[#This Row],[Total electric cost]]/Table4[[#This Row],[Electric kWh usage]],"")</f>
        <v/>
      </c>
      <c r="R75" s="152" t="str">
        <f>_xlfn.IFERROR(Table4[[#This Row],[Electric Demand Cost]]/Table4[[#This Row],[Total Electric Demand (Billed)]],_xlfn.IFERROR(Table4[[#This Row],[Electric Demand Cost]]/Table4[[#This Row],[Total Electric Demand (Actual)]],""))</f>
        <v/>
      </c>
      <c r="S75" s="103" t="str">
        <f>_xlfn.IFERROR(Table4[[#This Row],[Total Gas cost]]+Table4[[#This Row],[Total electric cost]],"")</f>
        <v/>
      </c>
      <c r="T75" s="112"/>
      <c r="U75" s="103" t="str">
        <f>_xlfn.IFERROR(Table4[[#This Row],[Total Energy Cost]]/Table4[[#This Row],[Monthly Flow]],"")</f>
        <v/>
      </c>
      <c r="V75" s="103" t="str">
        <f>_xlfn.IFERROR(Table4[[#This Row],[Total Energy Cost]]/Table4[[#This Row],[Total BOD removed]],"")</f>
        <v/>
      </c>
      <c r="W75" s="362"/>
      <c r="X75" s="104" t="str">
        <f>IF('Process Data Entry'!G77="","",'Process Data Entry'!G77)</f>
        <v/>
      </c>
      <c r="Y75" s="104" t="str">
        <f>IF('Process Data Entry'!H77="","",'Process Data Entry'!H77)</f>
        <v/>
      </c>
      <c r="Z75" s="104">
        <f>IF('Process Data Entry'!I77="",0,'Process Data Entry'!I77)</f>
        <v>0</v>
      </c>
      <c r="AA75" s="104" t="str">
        <f>IF('Process Data Entry'!J77="","",'Process Data Entry'!J77)</f>
        <v/>
      </c>
      <c r="AB75" s="104" t="str">
        <f>IF('Process Data Entry'!K77="","",'Process Data Entry'!K77)</f>
        <v/>
      </c>
      <c r="AC75" s="104" t="str">
        <f>IF('Process Data Entry'!L77="","",'Process Data Entry'!L77)</f>
        <v/>
      </c>
      <c r="AD75" s="363" t="str">
        <f t="shared" si="6"/>
        <v/>
      </c>
      <c r="AE75" s="363" t="str">
        <f t="shared" si="7"/>
        <v/>
      </c>
      <c r="AF75" s="364" t="str">
        <f>IF('Process Data Entry'!M77="","",'Process Data Entry'!M77)</f>
        <v/>
      </c>
      <c r="AG75" s="364" t="str">
        <f>IF('Process Data Entry'!N77="","",'Process Data Entry'!N77)</f>
        <v/>
      </c>
      <c r="AH75" s="99" t="str">
        <f t="shared" si="8"/>
        <v/>
      </c>
    </row>
    <row r="76" spans="1:34" ht="15">
      <c r="A76" s="89">
        <v>7</v>
      </c>
      <c r="B76" s="106">
        <f>'Energy Data Entry'!B97</f>
        <v>45139</v>
      </c>
      <c r="C76" s="365" t="str">
        <f>IF(OR('Process Data Entry'!C78="",'Process Data Entry'!C78=0),"",'Process Data Entry'!C78)</f>
        <v/>
      </c>
      <c r="D76" s="91" t="str">
        <f>IF(Table4[[#This Row],[Avg Daily Flow]]="","",_xlfn.DAYS(EOMONTH(B76,0),EOMONTH(B76,-1))*C76)</f>
        <v/>
      </c>
      <c r="E76" s="91" t="str">
        <f>IF('Process Data Entry'!F78="","",'Process Data Entry'!F78)</f>
        <v/>
      </c>
      <c r="F76" s="92" t="str">
        <f>IF(Table4[[#This Row],[BOD removed]]="","",Table4[[#This Row],[BOD removed]]*_xlfn.DAYS(EOMONTH(Table4[[#This Row],[Column2]],0),EOMONTH(Table4[[#This Row],[Column2]],-1)))</f>
        <v/>
      </c>
      <c r="G76" s="93" t="str">
        <f>IF(SUM('Energy Data Entry'!C97,'Energy Data Entry'!H97,'Energy Data Entry'!M97,'Energy Data Entry'!R97,'Energy Data Entry'!W97)=0,"",SUM('Energy Data Entry'!C97,'Energy Data Entry'!H97,'Energy Data Entry'!M97,'Energy Data Entry'!R97,'Energy Data Entry'!W97))</f>
        <v/>
      </c>
      <c r="H76" s="93">
        <f>'Energy Data Entry'!AG97</f>
        <v>0</v>
      </c>
      <c r="I76" s="93" t="str">
        <f>IF(Table4[[#This Row],[Electric kWh usage]]="","",Table4[[#This Row],[Gas kWh usage]]+Table4[[#This Row],[Electric kWh usage]])</f>
        <v/>
      </c>
      <c r="J76" s="92" t="str">
        <f>IF(OR(Table4[[#This Row],[Electric kWh usage]]="",Table4[[#This Row],[Monthly Flow]]=""),"",(Table4[[#This Row],[Electric kWh usage]]+Table4[[#This Row],[Gas kWh usage]])/Table4[[#This Row],[Monthly Flow]])</f>
        <v/>
      </c>
      <c r="K76" s="94" t="str">
        <f>_xlfn.IFERROR(IF(Table4[[#This Row],[Electric kWh usage]]="","",(Table4[[#This Row],[Electric kWh usage]]+Table4[[#This Row],[Gas kWh usage]])/Table4[[#This Row],[Total BOD removed]]),"")</f>
        <v/>
      </c>
      <c r="L76" s="93" t="str">
        <f>IF('Energy Data Entry'!E97+'Energy Data Entry'!J97+'Energy Data Entry'!O97+'Energy Data Entry'!T97+'Energy Data Entry'!Y97=0,"",'Energy Data Entry'!E97+'Energy Data Entry'!J97+'Energy Data Entry'!O97+'Energy Data Entry'!T97+'Energy Data Entry'!Y97)</f>
        <v/>
      </c>
      <c r="M76" s="93" t="str">
        <f>IF('Energy Data Entry'!F97+'Energy Data Entry'!K97+'Energy Data Entry'!P97++'Energy Data Entry'!U97+'Energy Data Entry'!Z97=0,"",'Energy Data Entry'!F97+'Energy Data Entry'!K97+'Energy Data Entry'!P97++'Energy Data Entry'!U97+'Energy Data Entry'!Z97)</f>
        <v/>
      </c>
      <c r="N76" s="95" t="str">
        <f>IF('Energy Data Entry'!G97+'Energy Data Entry'!L97+'Energy Data Entry'!Q97+'Energy Data Entry'!V97+'Energy Data Entry'!AA97=0,"",'Energy Data Entry'!G97+'Energy Data Entry'!L97+'Energy Data Entry'!Q97+'Energy Data Entry'!V97+'Energy Data Entry'!AA97)</f>
        <v/>
      </c>
      <c r="O76" s="95" t="str">
        <f>IF('Energy Data Entry'!D97+'Energy Data Entry'!I97+'Energy Data Entry'!N97+'Energy Data Entry'!S97+'Energy Data Entry'!X97=0,"",'Energy Data Entry'!D97+'Energy Data Entry'!I97+'Energy Data Entry'!N97+'Energy Data Entry'!S97+'Energy Data Entry'!X97)</f>
        <v/>
      </c>
      <c r="P76" s="414">
        <f>'Energy Data Entry'!AF97</f>
        <v>0</v>
      </c>
      <c r="Q76" s="153" t="str">
        <f>_xlfn.IFERROR(Table4[[#This Row],[Total electric cost]]/Table4[[#This Row],[Electric kWh usage]],"")</f>
        <v/>
      </c>
      <c r="R76" s="153" t="str">
        <f>_xlfn.IFERROR(Table4[[#This Row],[Electric Demand Cost]]/Table4[[#This Row],[Total Electric Demand (Billed)]],_xlfn.IFERROR(Table4[[#This Row],[Electric Demand Cost]]/Table4[[#This Row],[Total Electric Demand (Actual)]],""))</f>
        <v/>
      </c>
      <c r="S76" s="95" t="str">
        <f>_xlfn.IFERROR(Table4[[#This Row],[Total Gas cost]]+Table4[[#This Row],[Total electric cost]],"")</f>
        <v/>
      </c>
      <c r="T76" s="113"/>
      <c r="U76" s="95" t="str">
        <f>_xlfn.IFERROR(Table4[[#This Row],[Total Energy Cost]]/Table4[[#This Row],[Monthly Flow]],"")</f>
        <v/>
      </c>
      <c r="V76" s="95" t="str">
        <f>_xlfn.IFERROR(Table4[[#This Row],[Total Energy Cost]]/Table4[[#This Row],[Total BOD removed]],"")</f>
        <v/>
      </c>
      <c r="W76" s="116"/>
      <c r="X76" s="96" t="str">
        <f>IF('Process Data Entry'!G78="","",'Process Data Entry'!G78)</f>
        <v/>
      </c>
      <c r="Y76" s="96" t="str">
        <f>IF('Process Data Entry'!H78="","",'Process Data Entry'!H78)</f>
        <v/>
      </c>
      <c r="Z76" s="96">
        <f>IF('Process Data Entry'!I78="",0,'Process Data Entry'!I78)</f>
        <v>0</v>
      </c>
      <c r="AA76" s="96" t="str">
        <f>IF('Process Data Entry'!J78="","",'Process Data Entry'!J78)</f>
        <v/>
      </c>
      <c r="AB76" s="96" t="str">
        <f>IF('Process Data Entry'!K78="","",'Process Data Entry'!K78)</f>
        <v/>
      </c>
      <c r="AC76" s="96" t="str">
        <f>IF('Process Data Entry'!L78="","",'Process Data Entry'!L78)</f>
        <v/>
      </c>
      <c r="AD76" s="366" t="str">
        <f t="shared" si="6"/>
        <v/>
      </c>
      <c r="AE76" s="366" t="str">
        <f t="shared" si="7"/>
        <v/>
      </c>
      <c r="AF76" s="367" t="str">
        <f>IF('Process Data Entry'!M78="","",'Process Data Entry'!M78)</f>
        <v/>
      </c>
      <c r="AG76" s="367" t="str">
        <f>IF('Process Data Entry'!N78="","",'Process Data Entry'!N78)</f>
        <v/>
      </c>
      <c r="AH76" s="91" t="str">
        <f t="shared" si="8"/>
        <v/>
      </c>
    </row>
    <row r="77" spans="1:34" ht="15">
      <c r="A77" s="78">
        <v>7</v>
      </c>
      <c r="B77" s="88">
        <f>'Energy Data Entry'!B98</f>
        <v>45170</v>
      </c>
      <c r="C77" s="80" t="str">
        <f>IF(OR('Process Data Entry'!C79="",'Process Data Entry'!C79=0),"",'Process Data Entry'!C79)</f>
        <v/>
      </c>
      <c r="D77" s="81" t="str">
        <f>IF(Table4[[#This Row],[Avg Daily Flow]]="","",_xlfn.DAYS(EOMONTH(B77,0),EOMONTH(B77,-1))*C77)</f>
        <v/>
      </c>
      <c r="E77" s="81" t="str">
        <f>IF('Process Data Entry'!F79="","",'Process Data Entry'!F79)</f>
        <v/>
      </c>
      <c r="F77" s="82" t="str">
        <f>IF(Table4[[#This Row],[BOD removed]]="","",Table4[[#This Row],[BOD removed]]*_xlfn.DAYS(EOMONTH(Table4[[#This Row],[Column2]],0),EOMONTH(Table4[[#This Row],[Column2]],-1)))</f>
        <v/>
      </c>
      <c r="G77" s="83" t="str">
        <f>IF(SUM('Energy Data Entry'!C98,'Energy Data Entry'!H98,'Energy Data Entry'!M98,'Energy Data Entry'!R98,'Energy Data Entry'!W98)=0,"",SUM('Energy Data Entry'!C98,'Energy Data Entry'!H98,'Energy Data Entry'!M98,'Energy Data Entry'!R98,'Energy Data Entry'!W98))</f>
        <v/>
      </c>
      <c r="H77" s="83">
        <f>'Energy Data Entry'!AG98</f>
        <v>0</v>
      </c>
      <c r="I77" s="83" t="str">
        <f>IF(Table4[[#This Row],[Electric kWh usage]]="","",Table4[[#This Row],[Gas kWh usage]]+Table4[[#This Row],[Electric kWh usage]])</f>
        <v/>
      </c>
      <c r="J77" s="82" t="str">
        <f>IF(OR(Table4[[#This Row],[Electric kWh usage]]="",Table4[[#This Row],[Monthly Flow]]=""),"",(Table4[[#This Row],[Electric kWh usage]]+Table4[[#This Row],[Gas kWh usage]])/Table4[[#This Row],[Monthly Flow]])</f>
        <v/>
      </c>
      <c r="K77" s="84" t="str">
        <f>_xlfn.IFERROR(IF(Table4[[#This Row],[Electric kWh usage]]="","",(Table4[[#This Row],[Electric kWh usage]]+Table4[[#This Row],[Gas kWh usage]])/Table4[[#This Row],[Total BOD removed]]),"")</f>
        <v/>
      </c>
      <c r="L77" s="83" t="str">
        <f>IF('Energy Data Entry'!E98+'Energy Data Entry'!J98+'Energy Data Entry'!O98+'Energy Data Entry'!T98+'Energy Data Entry'!Y98=0,"",'Energy Data Entry'!E98+'Energy Data Entry'!J98+'Energy Data Entry'!O98+'Energy Data Entry'!T98+'Energy Data Entry'!Y98)</f>
        <v/>
      </c>
      <c r="M77" s="83" t="str">
        <f>IF('Energy Data Entry'!F98+'Energy Data Entry'!K98+'Energy Data Entry'!P98++'Energy Data Entry'!U98+'Energy Data Entry'!Z98=0,"",'Energy Data Entry'!F98+'Energy Data Entry'!K98+'Energy Data Entry'!P98++'Energy Data Entry'!U98+'Energy Data Entry'!Z98)</f>
        <v/>
      </c>
      <c r="N77" s="85" t="str">
        <f>IF('Energy Data Entry'!G98+'Energy Data Entry'!L98+'Energy Data Entry'!Q98+'Energy Data Entry'!V98+'Energy Data Entry'!AA98=0,"",'Energy Data Entry'!G98+'Energy Data Entry'!L98+'Energy Data Entry'!Q98+'Energy Data Entry'!V98+'Energy Data Entry'!AA98)</f>
        <v/>
      </c>
      <c r="O77" s="85" t="str">
        <f>IF('Energy Data Entry'!D98+'Energy Data Entry'!I98+'Energy Data Entry'!N98+'Energy Data Entry'!S98+'Energy Data Entry'!X98=0,"",'Energy Data Entry'!D98+'Energy Data Entry'!I98+'Energy Data Entry'!N98+'Energy Data Entry'!S98+'Energy Data Entry'!X98)</f>
        <v/>
      </c>
      <c r="P77" s="412">
        <f>'Energy Data Entry'!AF98</f>
        <v>0</v>
      </c>
      <c r="Q77" s="151" t="str">
        <f>_xlfn.IFERROR(Table4[[#This Row],[Total electric cost]]/Table4[[#This Row],[Electric kWh usage]],"")</f>
        <v/>
      </c>
      <c r="R77" s="151" t="str">
        <f>_xlfn.IFERROR(Table4[[#This Row],[Electric Demand Cost]]/Table4[[#This Row],[Total Electric Demand (Billed)]],_xlfn.IFERROR(Table4[[#This Row],[Electric Demand Cost]]/Table4[[#This Row],[Total Electric Demand (Actual)]],""))</f>
        <v/>
      </c>
      <c r="S77" s="85" t="str">
        <f>_xlfn.IFERROR(Table4[[#This Row],[Total Gas cost]]+Table4[[#This Row],[Total electric cost]],"")</f>
        <v/>
      </c>
      <c r="T77" s="111"/>
      <c r="U77" s="85" t="str">
        <f>_xlfn.IFERROR(Table4[[#This Row],[Total Energy Cost]]/Table4[[#This Row],[Monthly Flow]],"")</f>
        <v/>
      </c>
      <c r="V77" s="85" t="str">
        <f>_xlfn.IFERROR(Table4[[#This Row],[Total Energy Cost]]/Table4[[#This Row],[Total BOD removed]],"")</f>
        <v/>
      </c>
      <c r="W77" s="116"/>
      <c r="X77" s="86" t="str">
        <f>IF('Process Data Entry'!G79="","",'Process Data Entry'!G79)</f>
        <v/>
      </c>
      <c r="Y77" s="86" t="str">
        <f>IF('Process Data Entry'!H79="","",'Process Data Entry'!H79)</f>
        <v/>
      </c>
      <c r="Z77" s="86">
        <f>IF('Process Data Entry'!I79="",0,'Process Data Entry'!I79)</f>
        <v>0</v>
      </c>
      <c r="AA77" s="86" t="str">
        <f>IF('Process Data Entry'!J79="","",'Process Data Entry'!J79)</f>
        <v/>
      </c>
      <c r="AB77" s="86" t="str">
        <f>IF('Process Data Entry'!K79="","",'Process Data Entry'!K79)</f>
        <v/>
      </c>
      <c r="AC77" s="86" t="str">
        <f>IF('Process Data Entry'!L79="","",'Process Data Entry'!L79)</f>
        <v/>
      </c>
      <c r="AD77" s="87" t="str">
        <f t="shared" si="6"/>
        <v/>
      </c>
      <c r="AE77" s="87" t="str">
        <f t="shared" si="7"/>
        <v/>
      </c>
      <c r="AF77" s="150" t="str">
        <f>IF('Process Data Entry'!M79="","",'Process Data Entry'!M79)</f>
        <v/>
      </c>
      <c r="AG77" s="150" t="str">
        <f>IF('Process Data Entry'!N79="","",'Process Data Entry'!N79)</f>
        <v/>
      </c>
      <c r="AH77" s="81" t="str">
        <f t="shared" si="8"/>
        <v/>
      </c>
    </row>
    <row r="78" spans="1:34" ht="15">
      <c r="A78" s="78">
        <v>7</v>
      </c>
      <c r="B78" s="88">
        <f>'Energy Data Entry'!B99</f>
        <v>45200</v>
      </c>
      <c r="C78" s="80" t="str">
        <f>IF(OR('Process Data Entry'!C80="",'Process Data Entry'!C80=0),"",'Process Data Entry'!C80)</f>
        <v/>
      </c>
      <c r="D78" s="81" t="str">
        <f>IF(Table4[[#This Row],[Avg Daily Flow]]="","",_xlfn.DAYS(EOMONTH(B78,0),EOMONTH(B78,-1))*C78)</f>
        <v/>
      </c>
      <c r="E78" s="81" t="str">
        <f>IF('Process Data Entry'!F80="","",'Process Data Entry'!F80)</f>
        <v/>
      </c>
      <c r="F78" s="82" t="str">
        <f>IF(Table4[[#This Row],[BOD removed]]="","",Table4[[#This Row],[BOD removed]]*_xlfn.DAYS(EOMONTH(Table4[[#This Row],[Column2]],0),EOMONTH(Table4[[#This Row],[Column2]],-1)))</f>
        <v/>
      </c>
      <c r="G78" s="83" t="str">
        <f>IF(SUM('Energy Data Entry'!C99,'Energy Data Entry'!H99,'Energy Data Entry'!M99,'Energy Data Entry'!R99,'Energy Data Entry'!W99)=0,"",SUM('Energy Data Entry'!C99,'Energy Data Entry'!H99,'Energy Data Entry'!M99,'Energy Data Entry'!R99,'Energy Data Entry'!W99))</f>
        <v/>
      </c>
      <c r="H78" s="83">
        <f>'Energy Data Entry'!AG99</f>
        <v>0</v>
      </c>
      <c r="I78" s="83" t="str">
        <f>IF(Table4[[#This Row],[Electric kWh usage]]="","",Table4[[#This Row],[Gas kWh usage]]+Table4[[#This Row],[Electric kWh usage]])</f>
        <v/>
      </c>
      <c r="J78" s="82" t="str">
        <f>IF(OR(Table4[[#This Row],[Electric kWh usage]]="",Table4[[#This Row],[Monthly Flow]]=""),"",(Table4[[#This Row],[Electric kWh usage]]+Table4[[#This Row],[Gas kWh usage]])/Table4[[#This Row],[Monthly Flow]])</f>
        <v/>
      </c>
      <c r="K78" s="84" t="str">
        <f>_xlfn.IFERROR(IF(Table4[[#This Row],[Electric kWh usage]]="","",(Table4[[#This Row],[Electric kWh usage]]+Table4[[#This Row],[Gas kWh usage]])/Table4[[#This Row],[Total BOD removed]]),"")</f>
        <v/>
      </c>
      <c r="L78" s="83" t="str">
        <f>IF('Energy Data Entry'!E99+'Energy Data Entry'!J99+'Energy Data Entry'!O99+'Energy Data Entry'!T99+'Energy Data Entry'!Y99=0,"",'Energy Data Entry'!E99+'Energy Data Entry'!J99+'Energy Data Entry'!O99+'Energy Data Entry'!T99+'Energy Data Entry'!Y99)</f>
        <v/>
      </c>
      <c r="M78" s="83" t="str">
        <f>IF('Energy Data Entry'!F99+'Energy Data Entry'!K99+'Energy Data Entry'!P99++'Energy Data Entry'!U99+'Energy Data Entry'!Z99=0,"",'Energy Data Entry'!F99+'Energy Data Entry'!K99+'Energy Data Entry'!P99++'Energy Data Entry'!U99+'Energy Data Entry'!Z99)</f>
        <v/>
      </c>
      <c r="N78" s="85" t="str">
        <f>IF('Energy Data Entry'!G99+'Energy Data Entry'!L99+'Energy Data Entry'!Q99+'Energy Data Entry'!V99+'Energy Data Entry'!AA99=0,"",'Energy Data Entry'!G99+'Energy Data Entry'!L99+'Energy Data Entry'!Q99+'Energy Data Entry'!V99+'Energy Data Entry'!AA99)</f>
        <v/>
      </c>
      <c r="O78" s="85" t="str">
        <f>IF('Energy Data Entry'!D99+'Energy Data Entry'!I99+'Energy Data Entry'!N99+'Energy Data Entry'!S99+'Energy Data Entry'!X99=0,"",'Energy Data Entry'!D99+'Energy Data Entry'!I99+'Energy Data Entry'!N99+'Energy Data Entry'!S99+'Energy Data Entry'!X99)</f>
        <v/>
      </c>
      <c r="P78" s="412">
        <f>'Energy Data Entry'!AF99</f>
        <v>0</v>
      </c>
      <c r="Q78" s="151" t="str">
        <f>_xlfn.IFERROR(Table4[[#This Row],[Total electric cost]]/Table4[[#This Row],[Electric kWh usage]],"")</f>
        <v/>
      </c>
      <c r="R78" s="151" t="str">
        <f>_xlfn.IFERROR(Table4[[#This Row],[Electric Demand Cost]]/Table4[[#This Row],[Total Electric Demand (Billed)]],_xlfn.IFERROR(Table4[[#This Row],[Electric Demand Cost]]/Table4[[#This Row],[Total Electric Demand (Actual)]],""))</f>
        <v/>
      </c>
      <c r="S78" s="85" t="str">
        <f>_xlfn.IFERROR(Table4[[#This Row],[Total Gas cost]]+Table4[[#This Row],[Total electric cost]],"")</f>
        <v/>
      </c>
      <c r="T78" s="111"/>
      <c r="U78" s="85" t="str">
        <f>_xlfn.IFERROR(Table4[[#This Row],[Total Energy Cost]]/Table4[[#This Row],[Monthly Flow]],"")</f>
        <v/>
      </c>
      <c r="V78" s="85" t="str">
        <f>_xlfn.IFERROR(Table4[[#This Row],[Total Energy Cost]]/Table4[[#This Row],[Total BOD removed]],"")</f>
        <v/>
      </c>
      <c r="W78" s="116"/>
      <c r="X78" s="86" t="str">
        <f>IF('Process Data Entry'!G80="","",'Process Data Entry'!G80)</f>
        <v/>
      </c>
      <c r="Y78" s="86" t="str">
        <f>IF('Process Data Entry'!H80="","",'Process Data Entry'!H80)</f>
        <v/>
      </c>
      <c r="Z78" s="86">
        <f>IF('Process Data Entry'!I80="",0,'Process Data Entry'!I80)</f>
        <v>0</v>
      </c>
      <c r="AA78" s="86" t="str">
        <f>IF('Process Data Entry'!J80="","",'Process Data Entry'!J80)</f>
        <v/>
      </c>
      <c r="AB78" s="86" t="str">
        <f>IF('Process Data Entry'!K80="","",'Process Data Entry'!K80)</f>
        <v/>
      </c>
      <c r="AC78" s="86" t="str">
        <f>IF('Process Data Entry'!L80="","",'Process Data Entry'!L80)</f>
        <v/>
      </c>
      <c r="AD78" s="87" t="str">
        <f t="shared" si="6"/>
        <v/>
      </c>
      <c r="AE78" s="87" t="str">
        <f t="shared" si="7"/>
        <v/>
      </c>
      <c r="AF78" s="150" t="str">
        <f>IF('Process Data Entry'!M80="","",'Process Data Entry'!M80)</f>
        <v/>
      </c>
      <c r="AG78" s="150" t="str">
        <f>IF('Process Data Entry'!N80="","",'Process Data Entry'!N80)</f>
        <v/>
      </c>
      <c r="AH78" s="81" t="str">
        <f t="shared" si="8"/>
        <v/>
      </c>
    </row>
    <row r="79" spans="1:34" ht="15">
      <c r="A79" s="78">
        <v>7</v>
      </c>
      <c r="B79" s="88">
        <f>'Energy Data Entry'!B100</f>
        <v>45231</v>
      </c>
      <c r="C79" s="80" t="str">
        <f>IF(OR('Process Data Entry'!C81="",'Process Data Entry'!C81=0),"",'Process Data Entry'!C81)</f>
        <v/>
      </c>
      <c r="D79" s="81" t="str">
        <f>IF(Table4[[#This Row],[Avg Daily Flow]]="","",_xlfn.DAYS(EOMONTH(B79,0),EOMONTH(B79,-1))*C79)</f>
        <v/>
      </c>
      <c r="E79" s="81" t="str">
        <f>IF('Process Data Entry'!F81="","",'Process Data Entry'!F81)</f>
        <v/>
      </c>
      <c r="F79" s="82" t="str">
        <f>IF(Table4[[#This Row],[BOD removed]]="","",Table4[[#This Row],[BOD removed]]*_xlfn.DAYS(EOMONTH(Table4[[#This Row],[Column2]],0),EOMONTH(Table4[[#This Row],[Column2]],-1)))</f>
        <v/>
      </c>
      <c r="G79" s="83" t="str">
        <f>IF(SUM('Energy Data Entry'!C100,'Energy Data Entry'!H100,'Energy Data Entry'!M100,'Energy Data Entry'!R100,'Energy Data Entry'!W100)=0,"",SUM('Energy Data Entry'!C100,'Energy Data Entry'!H100,'Energy Data Entry'!M100,'Energy Data Entry'!R100,'Energy Data Entry'!W100))</f>
        <v/>
      </c>
      <c r="H79" s="83">
        <f>'Energy Data Entry'!AG100</f>
        <v>0</v>
      </c>
      <c r="I79" s="83" t="str">
        <f>IF(Table4[[#This Row],[Electric kWh usage]]="","",Table4[[#This Row],[Gas kWh usage]]+Table4[[#This Row],[Electric kWh usage]])</f>
        <v/>
      </c>
      <c r="J79" s="82" t="str">
        <f>IF(OR(Table4[[#This Row],[Electric kWh usage]]="",Table4[[#This Row],[Monthly Flow]]=""),"",(Table4[[#This Row],[Electric kWh usage]]+Table4[[#This Row],[Gas kWh usage]])/Table4[[#This Row],[Monthly Flow]])</f>
        <v/>
      </c>
      <c r="K79" s="84" t="str">
        <f>_xlfn.IFERROR(IF(Table4[[#This Row],[Electric kWh usage]]="","",(Table4[[#This Row],[Electric kWh usage]]+Table4[[#This Row],[Gas kWh usage]])/Table4[[#This Row],[Total BOD removed]]),"")</f>
        <v/>
      </c>
      <c r="L79" s="83" t="str">
        <f>IF('Energy Data Entry'!E100+'Energy Data Entry'!J100+'Energy Data Entry'!O100+'Energy Data Entry'!T100+'Energy Data Entry'!Y100=0,"",'Energy Data Entry'!E100+'Energy Data Entry'!J100+'Energy Data Entry'!O100+'Energy Data Entry'!T100+'Energy Data Entry'!Y100)</f>
        <v/>
      </c>
      <c r="M79" s="83" t="str">
        <f>IF('Energy Data Entry'!F100+'Energy Data Entry'!K100+'Energy Data Entry'!P100++'Energy Data Entry'!U100+'Energy Data Entry'!Z100=0,"",'Energy Data Entry'!F100+'Energy Data Entry'!K100+'Energy Data Entry'!P100++'Energy Data Entry'!U100+'Energy Data Entry'!Z100)</f>
        <v/>
      </c>
      <c r="N79" s="85" t="str">
        <f>IF('Energy Data Entry'!G100+'Energy Data Entry'!L100+'Energy Data Entry'!Q100+'Energy Data Entry'!V100+'Energy Data Entry'!AA100=0,"",'Energy Data Entry'!G100+'Energy Data Entry'!L100+'Energy Data Entry'!Q100+'Energy Data Entry'!V100+'Energy Data Entry'!AA100)</f>
        <v/>
      </c>
      <c r="O79" s="85" t="str">
        <f>IF('Energy Data Entry'!D100+'Energy Data Entry'!I100+'Energy Data Entry'!N100+'Energy Data Entry'!S100+'Energy Data Entry'!X100=0,"",'Energy Data Entry'!D100+'Energy Data Entry'!I100+'Energy Data Entry'!N100+'Energy Data Entry'!S100+'Energy Data Entry'!X100)</f>
        <v/>
      </c>
      <c r="P79" s="412">
        <f>'Energy Data Entry'!AF100</f>
        <v>0</v>
      </c>
      <c r="Q79" s="151" t="str">
        <f>_xlfn.IFERROR(Table4[[#This Row],[Total electric cost]]/Table4[[#This Row],[Electric kWh usage]],"")</f>
        <v/>
      </c>
      <c r="R79" s="151" t="str">
        <f>_xlfn.IFERROR(Table4[[#This Row],[Electric Demand Cost]]/Table4[[#This Row],[Total Electric Demand (Billed)]],_xlfn.IFERROR(Table4[[#This Row],[Electric Demand Cost]]/Table4[[#This Row],[Total Electric Demand (Actual)]],""))</f>
        <v/>
      </c>
      <c r="S79" s="85" t="str">
        <f>_xlfn.IFERROR(Table4[[#This Row],[Total Gas cost]]+Table4[[#This Row],[Total electric cost]],"")</f>
        <v/>
      </c>
      <c r="T79" s="111"/>
      <c r="U79" s="85" t="str">
        <f>_xlfn.IFERROR(Table4[[#This Row],[Total Energy Cost]]/Table4[[#This Row],[Monthly Flow]],"")</f>
        <v/>
      </c>
      <c r="V79" s="85" t="str">
        <f>_xlfn.IFERROR(Table4[[#This Row],[Total Energy Cost]]/Table4[[#This Row],[Total BOD removed]],"")</f>
        <v/>
      </c>
      <c r="W79" s="116"/>
      <c r="X79" s="86" t="str">
        <f>IF('Process Data Entry'!G81="","",'Process Data Entry'!G81)</f>
        <v/>
      </c>
      <c r="Y79" s="86" t="str">
        <f>IF('Process Data Entry'!H81="","",'Process Data Entry'!H81)</f>
        <v/>
      </c>
      <c r="Z79" s="86">
        <f>IF('Process Data Entry'!I81="",0,'Process Data Entry'!I81)</f>
        <v>0</v>
      </c>
      <c r="AA79" s="86" t="str">
        <f>IF('Process Data Entry'!J81="","",'Process Data Entry'!J81)</f>
        <v/>
      </c>
      <c r="AB79" s="86" t="str">
        <f>IF('Process Data Entry'!K81="","",'Process Data Entry'!K81)</f>
        <v/>
      </c>
      <c r="AC79" s="86" t="str">
        <f>IF('Process Data Entry'!L81="","",'Process Data Entry'!L81)</f>
        <v/>
      </c>
      <c r="AD79" s="87" t="str">
        <f t="shared" si="6"/>
        <v/>
      </c>
      <c r="AE79" s="87" t="str">
        <f t="shared" si="7"/>
        <v/>
      </c>
      <c r="AF79" s="150" t="str">
        <f>IF('Process Data Entry'!M81="","",'Process Data Entry'!M81)</f>
        <v/>
      </c>
      <c r="AG79" s="150" t="str">
        <f>IF('Process Data Entry'!N81="","",'Process Data Entry'!N81)</f>
        <v/>
      </c>
      <c r="AH79" s="81" t="str">
        <f t="shared" si="8"/>
        <v/>
      </c>
    </row>
    <row r="80" spans="1:34" ht="15">
      <c r="A80" s="78">
        <v>7</v>
      </c>
      <c r="B80" s="88">
        <f>'Energy Data Entry'!B101</f>
        <v>45261</v>
      </c>
      <c r="C80" s="80" t="str">
        <f>IF(OR('Process Data Entry'!C82="",'Process Data Entry'!C82=0),"",'Process Data Entry'!C82)</f>
        <v/>
      </c>
      <c r="D80" s="81" t="str">
        <f>IF(Table4[[#This Row],[Avg Daily Flow]]="","",_xlfn.DAYS(EOMONTH(B80,0),EOMONTH(B80,-1))*C80)</f>
        <v/>
      </c>
      <c r="E80" s="81" t="str">
        <f>IF('Process Data Entry'!F82="","",'Process Data Entry'!F82)</f>
        <v/>
      </c>
      <c r="F80" s="82" t="str">
        <f>IF(Table4[[#This Row],[BOD removed]]="","",Table4[[#This Row],[BOD removed]]*_xlfn.DAYS(EOMONTH(Table4[[#This Row],[Column2]],0),EOMONTH(Table4[[#This Row],[Column2]],-1)))</f>
        <v/>
      </c>
      <c r="G80" s="83" t="str">
        <f>IF(SUM('Energy Data Entry'!C101,'Energy Data Entry'!H101,'Energy Data Entry'!M101,'Energy Data Entry'!R101,'Energy Data Entry'!W101)=0,"",SUM('Energy Data Entry'!C101,'Energy Data Entry'!H101,'Energy Data Entry'!M101,'Energy Data Entry'!R101,'Energy Data Entry'!W101))</f>
        <v/>
      </c>
      <c r="H80" s="83">
        <f>'Energy Data Entry'!AG101</f>
        <v>0</v>
      </c>
      <c r="I80" s="83" t="str">
        <f>IF(Table4[[#This Row],[Electric kWh usage]]="","",Table4[[#This Row],[Gas kWh usage]]+Table4[[#This Row],[Electric kWh usage]])</f>
        <v/>
      </c>
      <c r="J80" s="82" t="str">
        <f>IF(OR(Table4[[#This Row],[Electric kWh usage]]="",Table4[[#This Row],[Monthly Flow]]=""),"",(Table4[[#This Row],[Electric kWh usage]]+Table4[[#This Row],[Gas kWh usage]])/Table4[[#This Row],[Monthly Flow]])</f>
        <v/>
      </c>
      <c r="K80" s="84" t="str">
        <f>_xlfn.IFERROR(IF(Table4[[#This Row],[Electric kWh usage]]="","",(Table4[[#This Row],[Electric kWh usage]]+Table4[[#This Row],[Gas kWh usage]])/Table4[[#This Row],[Total BOD removed]]),"")</f>
        <v/>
      </c>
      <c r="L80" s="83" t="str">
        <f>IF('Energy Data Entry'!E101+'Energy Data Entry'!J101+'Energy Data Entry'!O101+'Energy Data Entry'!T101+'Energy Data Entry'!Y101=0,"",'Energy Data Entry'!E101+'Energy Data Entry'!J101+'Energy Data Entry'!O101+'Energy Data Entry'!T101+'Energy Data Entry'!Y101)</f>
        <v/>
      </c>
      <c r="M80" s="83" t="str">
        <f>IF('Energy Data Entry'!F101+'Energy Data Entry'!K101+'Energy Data Entry'!P101++'Energy Data Entry'!U101+'Energy Data Entry'!Z101=0,"",'Energy Data Entry'!F101+'Energy Data Entry'!K101+'Energy Data Entry'!P101++'Energy Data Entry'!U101+'Energy Data Entry'!Z101)</f>
        <v/>
      </c>
      <c r="N80" s="85" t="str">
        <f>IF('Energy Data Entry'!G101+'Energy Data Entry'!L101+'Energy Data Entry'!Q101+'Energy Data Entry'!V101+'Energy Data Entry'!AA101=0,"",'Energy Data Entry'!G101+'Energy Data Entry'!L101+'Energy Data Entry'!Q101+'Energy Data Entry'!V101+'Energy Data Entry'!AA101)</f>
        <v/>
      </c>
      <c r="O80" s="85" t="str">
        <f>IF('Energy Data Entry'!D101+'Energy Data Entry'!I101+'Energy Data Entry'!N101+'Energy Data Entry'!S101+'Energy Data Entry'!X101=0,"",'Energy Data Entry'!D101+'Energy Data Entry'!I101+'Energy Data Entry'!N101+'Energy Data Entry'!S101+'Energy Data Entry'!X101)</f>
        <v/>
      </c>
      <c r="P80" s="412">
        <f>'Energy Data Entry'!AF101</f>
        <v>0</v>
      </c>
      <c r="Q80" s="151" t="str">
        <f>_xlfn.IFERROR(Table4[[#This Row],[Total electric cost]]/Table4[[#This Row],[Electric kWh usage]],"")</f>
        <v/>
      </c>
      <c r="R80" s="151" t="str">
        <f>_xlfn.IFERROR(Table4[[#This Row],[Electric Demand Cost]]/Table4[[#This Row],[Total Electric Demand (Billed)]],_xlfn.IFERROR(Table4[[#This Row],[Electric Demand Cost]]/Table4[[#This Row],[Total Electric Demand (Actual)]],""))</f>
        <v/>
      </c>
      <c r="S80" s="85" t="str">
        <f>_xlfn.IFERROR(Table4[[#This Row],[Total Gas cost]]+Table4[[#This Row],[Total electric cost]],"")</f>
        <v/>
      </c>
      <c r="T80" s="111"/>
      <c r="U80" s="85" t="str">
        <f>_xlfn.IFERROR(Table4[[#This Row],[Total Energy Cost]]/Table4[[#This Row],[Monthly Flow]],"")</f>
        <v/>
      </c>
      <c r="V80" s="85" t="str">
        <f>_xlfn.IFERROR(Table4[[#This Row],[Total Energy Cost]]/Table4[[#This Row],[Total BOD removed]],"")</f>
        <v/>
      </c>
      <c r="W80" s="116"/>
      <c r="X80" s="86" t="str">
        <f>IF('Process Data Entry'!G82="","",'Process Data Entry'!G82)</f>
        <v/>
      </c>
      <c r="Y80" s="86" t="str">
        <f>IF('Process Data Entry'!H82="","",'Process Data Entry'!H82)</f>
        <v/>
      </c>
      <c r="Z80" s="86">
        <f>IF('Process Data Entry'!I82="",0,'Process Data Entry'!I82)</f>
        <v>0</v>
      </c>
      <c r="AA80" s="86" t="str">
        <f>IF('Process Data Entry'!J82="","",'Process Data Entry'!J82)</f>
        <v/>
      </c>
      <c r="AB80" s="86" t="str">
        <f>IF('Process Data Entry'!K82="","",'Process Data Entry'!K82)</f>
        <v/>
      </c>
      <c r="AC80" s="86" t="str">
        <f>IF('Process Data Entry'!L82="","",'Process Data Entry'!L82)</f>
        <v/>
      </c>
      <c r="AD80" s="87" t="str">
        <f t="shared" si="6"/>
        <v/>
      </c>
      <c r="AE80" s="87" t="str">
        <f t="shared" si="7"/>
        <v/>
      </c>
      <c r="AF80" s="150" t="str">
        <f>IF('Process Data Entry'!M82="","",'Process Data Entry'!M82)</f>
        <v/>
      </c>
      <c r="AG80" s="150" t="str">
        <f>IF('Process Data Entry'!N82="","",'Process Data Entry'!N82)</f>
        <v/>
      </c>
      <c r="AH80" s="81" t="str">
        <f t="shared" si="8"/>
        <v/>
      </c>
    </row>
    <row r="81" spans="1:34" ht="15">
      <c r="A81" s="78">
        <v>7</v>
      </c>
      <c r="B81" s="88">
        <f>'Energy Data Entry'!B102</f>
        <v>45292</v>
      </c>
      <c r="C81" s="80" t="str">
        <f>IF(OR('Process Data Entry'!C83="",'Process Data Entry'!C83=0),"",'Process Data Entry'!C83)</f>
        <v/>
      </c>
      <c r="D81" s="81" t="str">
        <f>IF(Table4[[#This Row],[Avg Daily Flow]]="","",_xlfn.DAYS(EOMONTH(B81,0),EOMONTH(B81,-1))*C81)</f>
        <v/>
      </c>
      <c r="E81" s="81" t="str">
        <f>IF('Process Data Entry'!F83="","",'Process Data Entry'!F83)</f>
        <v/>
      </c>
      <c r="F81" s="82" t="str">
        <f>IF(Table4[[#This Row],[BOD removed]]="","",Table4[[#This Row],[BOD removed]]*_xlfn.DAYS(EOMONTH(Table4[[#This Row],[Column2]],0),EOMONTH(Table4[[#This Row],[Column2]],-1)))</f>
        <v/>
      </c>
      <c r="G81" s="83" t="str">
        <f>IF(SUM('Energy Data Entry'!C102,'Energy Data Entry'!H102,'Energy Data Entry'!M102,'Energy Data Entry'!R102,'Energy Data Entry'!W102)=0,"",SUM('Energy Data Entry'!C102,'Energy Data Entry'!H102,'Energy Data Entry'!M102,'Energy Data Entry'!R102,'Energy Data Entry'!W102))</f>
        <v/>
      </c>
      <c r="H81" s="83">
        <f>'Energy Data Entry'!AG102</f>
        <v>0</v>
      </c>
      <c r="I81" s="83" t="str">
        <f>IF(Table4[[#This Row],[Electric kWh usage]]="","",Table4[[#This Row],[Gas kWh usage]]+Table4[[#This Row],[Electric kWh usage]])</f>
        <v/>
      </c>
      <c r="J81" s="82" t="str">
        <f>IF(OR(Table4[[#This Row],[Electric kWh usage]]="",Table4[[#This Row],[Monthly Flow]]=""),"",(Table4[[#This Row],[Electric kWh usage]]+Table4[[#This Row],[Gas kWh usage]])/Table4[[#This Row],[Monthly Flow]])</f>
        <v/>
      </c>
      <c r="K81" s="84" t="str">
        <f>_xlfn.IFERROR(IF(Table4[[#This Row],[Electric kWh usage]]="","",(Table4[[#This Row],[Electric kWh usage]]+Table4[[#This Row],[Gas kWh usage]])/Table4[[#This Row],[Total BOD removed]]),"")</f>
        <v/>
      </c>
      <c r="L81" s="83" t="str">
        <f>IF('Energy Data Entry'!E102+'Energy Data Entry'!J102+'Energy Data Entry'!O102+'Energy Data Entry'!T102+'Energy Data Entry'!Y102=0,"",'Energy Data Entry'!E102+'Energy Data Entry'!J102+'Energy Data Entry'!O102+'Energy Data Entry'!T102+'Energy Data Entry'!Y102)</f>
        <v/>
      </c>
      <c r="M81" s="83" t="str">
        <f>IF('Energy Data Entry'!F102+'Energy Data Entry'!K102+'Energy Data Entry'!P102++'Energy Data Entry'!U102+'Energy Data Entry'!Z102=0,"",'Energy Data Entry'!F102+'Energy Data Entry'!K102+'Energy Data Entry'!P102++'Energy Data Entry'!U102+'Energy Data Entry'!Z102)</f>
        <v/>
      </c>
      <c r="N81" s="85" t="str">
        <f>IF('Energy Data Entry'!G102+'Energy Data Entry'!L102+'Energy Data Entry'!Q102+'Energy Data Entry'!V102+'Energy Data Entry'!AA102=0,"",'Energy Data Entry'!G102+'Energy Data Entry'!L102+'Energy Data Entry'!Q102+'Energy Data Entry'!V102+'Energy Data Entry'!AA102)</f>
        <v/>
      </c>
      <c r="O81" s="85" t="str">
        <f>IF('Energy Data Entry'!D102+'Energy Data Entry'!I102+'Energy Data Entry'!N102+'Energy Data Entry'!S102+'Energy Data Entry'!X102=0,"",'Energy Data Entry'!D102+'Energy Data Entry'!I102+'Energy Data Entry'!N102+'Energy Data Entry'!S102+'Energy Data Entry'!X102)</f>
        <v/>
      </c>
      <c r="P81" s="412">
        <f>'Energy Data Entry'!AF102</f>
        <v>0</v>
      </c>
      <c r="Q81" s="151" t="str">
        <f>_xlfn.IFERROR(Table4[[#This Row],[Total electric cost]]/Table4[[#This Row],[Electric kWh usage]],"")</f>
        <v/>
      </c>
      <c r="R81" s="151" t="str">
        <f>_xlfn.IFERROR(Table4[[#This Row],[Electric Demand Cost]]/Table4[[#This Row],[Total Electric Demand (Billed)]],_xlfn.IFERROR(Table4[[#This Row],[Electric Demand Cost]]/Table4[[#This Row],[Total Electric Demand (Actual)]],""))</f>
        <v/>
      </c>
      <c r="S81" s="85" t="str">
        <f>_xlfn.IFERROR(Table4[[#This Row],[Total Gas cost]]+Table4[[#This Row],[Total electric cost]],"")</f>
        <v/>
      </c>
      <c r="T81" s="111"/>
      <c r="U81" s="85" t="str">
        <f>_xlfn.IFERROR(Table4[[#This Row],[Total Energy Cost]]/Table4[[#This Row],[Monthly Flow]],"")</f>
        <v/>
      </c>
      <c r="V81" s="85" t="str">
        <f>_xlfn.IFERROR(Table4[[#This Row],[Total Energy Cost]]/Table4[[#This Row],[Total BOD removed]],"")</f>
        <v/>
      </c>
      <c r="W81" s="116"/>
      <c r="X81" s="86" t="str">
        <f>IF('Process Data Entry'!G83="","",'Process Data Entry'!G83)</f>
        <v/>
      </c>
      <c r="Y81" s="86" t="str">
        <f>IF('Process Data Entry'!H83="","",'Process Data Entry'!H83)</f>
        <v/>
      </c>
      <c r="Z81" s="86">
        <f>IF('Process Data Entry'!I83="",0,'Process Data Entry'!I83)</f>
        <v>0</v>
      </c>
      <c r="AA81" s="86" t="str">
        <f>IF('Process Data Entry'!J83="","",'Process Data Entry'!J83)</f>
        <v/>
      </c>
      <c r="AB81" s="86" t="str">
        <f>IF('Process Data Entry'!K83="","",'Process Data Entry'!K83)</f>
        <v/>
      </c>
      <c r="AC81" s="86" t="str">
        <f>IF('Process Data Entry'!L83="","",'Process Data Entry'!L83)</f>
        <v/>
      </c>
      <c r="AD81" s="87" t="str">
        <f t="shared" si="6"/>
        <v/>
      </c>
      <c r="AE81" s="87" t="str">
        <f t="shared" si="7"/>
        <v/>
      </c>
      <c r="AF81" s="150" t="str">
        <f>IF('Process Data Entry'!M83="","",'Process Data Entry'!M83)</f>
        <v/>
      </c>
      <c r="AG81" s="150" t="str">
        <f>IF('Process Data Entry'!N83="","",'Process Data Entry'!N83)</f>
        <v/>
      </c>
      <c r="AH81" s="81" t="str">
        <f t="shared" si="8"/>
        <v/>
      </c>
    </row>
    <row r="82" spans="1:34" ht="15">
      <c r="A82" s="78">
        <v>7</v>
      </c>
      <c r="B82" s="88">
        <f>'Energy Data Entry'!B103</f>
        <v>45323</v>
      </c>
      <c r="C82" s="80" t="str">
        <f>IF(OR('Process Data Entry'!C84="",'Process Data Entry'!C84=0),"",'Process Data Entry'!C84)</f>
        <v/>
      </c>
      <c r="D82" s="81" t="str">
        <f>IF(Table4[[#This Row],[Avg Daily Flow]]="","",_xlfn.DAYS(EOMONTH(B82,0),EOMONTH(B82,-1))*C82)</f>
        <v/>
      </c>
      <c r="E82" s="81" t="str">
        <f>IF('Process Data Entry'!F84="","",'Process Data Entry'!F84)</f>
        <v/>
      </c>
      <c r="F82" s="82" t="str">
        <f>IF(Table4[[#This Row],[BOD removed]]="","",Table4[[#This Row],[BOD removed]]*_xlfn.DAYS(EOMONTH(Table4[[#This Row],[Column2]],0),EOMONTH(Table4[[#This Row],[Column2]],-1)))</f>
        <v/>
      </c>
      <c r="G82" s="83" t="str">
        <f>IF(SUM('Energy Data Entry'!C103,'Energy Data Entry'!H103,'Energy Data Entry'!M103,'Energy Data Entry'!R103,'Energy Data Entry'!W103)=0,"",SUM('Energy Data Entry'!C103,'Energy Data Entry'!H103,'Energy Data Entry'!M103,'Energy Data Entry'!R103,'Energy Data Entry'!W103))</f>
        <v/>
      </c>
      <c r="H82" s="83">
        <f>'Energy Data Entry'!AG103</f>
        <v>0</v>
      </c>
      <c r="I82" s="83" t="str">
        <f>IF(Table4[[#This Row],[Electric kWh usage]]="","",Table4[[#This Row],[Gas kWh usage]]+Table4[[#This Row],[Electric kWh usage]])</f>
        <v/>
      </c>
      <c r="J82" s="82" t="str">
        <f>IF(OR(Table4[[#This Row],[Electric kWh usage]]="",Table4[[#This Row],[Monthly Flow]]=""),"",(Table4[[#This Row],[Electric kWh usage]]+Table4[[#This Row],[Gas kWh usage]])/Table4[[#This Row],[Monthly Flow]])</f>
        <v/>
      </c>
      <c r="K82" s="84" t="str">
        <f>_xlfn.IFERROR(IF(Table4[[#This Row],[Electric kWh usage]]="","",(Table4[[#This Row],[Electric kWh usage]]+Table4[[#This Row],[Gas kWh usage]])/Table4[[#This Row],[Total BOD removed]]),"")</f>
        <v/>
      </c>
      <c r="L82" s="83" t="str">
        <f>IF('Energy Data Entry'!E103+'Energy Data Entry'!J103+'Energy Data Entry'!O103+'Energy Data Entry'!T103+'Energy Data Entry'!Y103=0,"",'Energy Data Entry'!E103+'Energy Data Entry'!J103+'Energy Data Entry'!O103+'Energy Data Entry'!T103+'Energy Data Entry'!Y103)</f>
        <v/>
      </c>
      <c r="M82" s="83" t="str">
        <f>IF('Energy Data Entry'!F103+'Energy Data Entry'!K103+'Energy Data Entry'!P103++'Energy Data Entry'!U103+'Energy Data Entry'!Z103=0,"",'Energy Data Entry'!F103+'Energy Data Entry'!K103+'Energy Data Entry'!P103++'Energy Data Entry'!U103+'Energy Data Entry'!Z103)</f>
        <v/>
      </c>
      <c r="N82" s="85" t="str">
        <f>IF('Energy Data Entry'!G103+'Energy Data Entry'!L103+'Energy Data Entry'!Q103+'Energy Data Entry'!V103+'Energy Data Entry'!AA103=0,"",'Energy Data Entry'!G103+'Energy Data Entry'!L103+'Energy Data Entry'!Q103+'Energy Data Entry'!V103+'Energy Data Entry'!AA103)</f>
        <v/>
      </c>
      <c r="O82" s="85" t="str">
        <f>IF('Energy Data Entry'!D103+'Energy Data Entry'!I103+'Energy Data Entry'!N103+'Energy Data Entry'!S103+'Energy Data Entry'!X103=0,"",'Energy Data Entry'!D103+'Energy Data Entry'!I103+'Energy Data Entry'!N103+'Energy Data Entry'!S103+'Energy Data Entry'!X103)</f>
        <v/>
      </c>
      <c r="P82" s="412">
        <f>'Energy Data Entry'!AF103</f>
        <v>0</v>
      </c>
      <c r="Q82" s="151" t="str">
        <f>_xlfn.IFERROR(Table4[[#This Row],[Total electric cost]]/Table4[[#This Row],[Electric kWh usage]],"")</f>
        <v/>
      </c>
      <c r="R82" s="151" t="str">
        <f>_xlfn.IFERROR(Table4[[#This Row],[Electric Demand Cost]]/Table4[[#This Row],[Total Electric Demand (Billed)]],_xlfn.IFERROR(Table4[[#This Row],[Electric Demand Cost]]/Table4[[#This Row],[Total Electric Demand (Actual)]],""))</f>
        <v/>
      </c>
      <c r="S82" s="85" t="str">
        <f>_xlfn.IFERROR(Table4[[#This Row],[Total Gas cost]]+Table4[[#This Row],[Total electric cost]],"")</f>
        <v/>
      </c>
      <c r="T82" s="111"/>
      <c r="U82" s="85" t="str">
        <f>_xlfn.IFERROR(Table4[[#This Row],[Total Energy Cost]]/Table4[[#This Row],[Monthly Flow]],"")</f>
        <v/>
      </c>
      <c r="V82" s="85" t="str">
        <f>_xlfn.IFERROR(Table4[[#This Row],[Total Energy Cost]]/Table4[[#This Row],[Total BOD removed]],"")</f>
        <v/>
      </c>
      <c r="W82" s="116"/>
      <c r="X82" s="86" t="str">
        <f>IF('Process Data Entry'!G84="","",'Process Data Entry'!G84)</f>
        <v/>
      </c>
      <c r="Y82" s="86" t="str">
        <f>IF('Process Data Entry'!H84="","",'Process Data Entry'!H84)</f>
        <v/>
      </c>
      <c r="Z82" s="86">
        <f>IF('Process Data Entry'!I84="",0,'Process Data Entry'!I84)</f>
        <v>0</v>
      </c>
      <c r="AA82" s="86" t="str">
        <f>IF('Process Data Entry'!J84="","",'Process Data Entry'!J84)</f>
        <v/>
      </c>
      <c r="AB82" s="86" t="str">
        <f>IF('Process Data Entry'!K84="","",'Process Data Entry'!K84)</f>
        <v/>
      </c>
      <c r="AC82" s="86" t="str">
        <f>IF('Process Data Entry'!L84="","",'Process Data Entry'!L84)</f>
        <v/>
      </c>
      <c r="AD82" s="87" t="str">
        <f t="shared" si="6"/>
        <v/>
      </c>
      <c r="AE82" s="87" t="str">
        <f t="shared" si="7"/>
        <v/>
      </c>
      <c r="AF82" s="150" t="str">
        <f>IF('Process Data Entry'!M84="","",'Process Data Entry'!M84)</f>
        <v/>
      </c>
      <c r="AG82" s="150" t="str">
        <f>IF('Process Data Entry'!N84="","",'Process Data Entry'!N84)</f>
        <v/>
      </c>
      <c r="AH82" s="81" t="str">
        <f t="shared" si="8"/>
        <v/>
      </c>
    </row>
    <row r="83" spans="1:34" ht="15">
      <c r="A83" s="78">
        <v>7</v>
      </c>
      <c r="B83" s="88">
        <f>'Energy Data Entry'!B104</f>
        <v>45352</v>
      </c>
      <c r="C83" s="80" t="str">
        <f>IF(OR('Process Data Entry'!C85="",'Process Data Entry'!C85=0),"",'Process Data Entry'!C85)</f>
        <v/>
      </c>
      <c r="D83" s="81" t="str">
        <f>IF(Table4[[#This Row],[Avg Daily Flow]]="","",_xlfn.DAYS(EOMONTH(B83,0),EOMONTH(B83,-1))*C83)</f>
        <v/>
      </c>
      <c r="E83" s="81" t="str">
        <f>IF('Process Data Entry'!F85="","",'Process Data Entry'!F85)</f>
        <v/>
      </c>
      <c r="F83" s="82" t="str">
        <f>IF(Table4[[#This Row],[BOD removed]]="","",Table4[[#This Row],[BOD removed]]*_xlfn.DAYS(EOMONTH(Table4[[#This Row],[Column2]],0),EOMONTH(Table4[[#This Row],[Column2]],-1)))</f>
        <v/>
      </c>
      <c r="G83" s="83" t="str">
        <f>IF(SUM('Energy Data Entry'!C104,'Energy Data Entry'!H104,'Energy Data Entry'!M104,'Energy Data Entry'!R104,'Energy Data Entry'!W104)=0,"",SUM('Energy Data Entry'!C104,'Energy Data Entry'!H104,'Energy Data Entry'!M104,'Energy Data Entry'!R104,'Energy Data Entry'!W104))</f>
        <v/>
      </c>
      <c r="H83" s="83">
        <f>'Energy Data Entry'!AG104</f>
        <v>0</v>
      </c>
      <c r="I83" s="83" t="str">
        <f>IF(Table4[[#This Row],[Electric kWh usage]]="","",Table4[[#This Row],[Gas kWh usage]]+Table4[[#This Row],[Electric kWh usage]])</f>
        <v/>
      </c>
      <c r="J83" s="82" t="str">
        <f>IF(OR(Table4[[#This Row],[Electric kWh usage]]="",Table4[[#This Row],[Monthly Flow]]=""),"",(Table4[[#This Row],[Electric kWh usage]]+Table4[[#This Row],[Gas kWh usage]])/Table4[[#This Row],[Monthly Flow]])</f>
        <v/>
      </c>
      <c r="K83" s="84" t="str">
        <f>_xlfn.IFERROR(IF(Table4[[#This Row],[Electric kWh usage]]="","",(Table4[[#This Row],[Electric kWh usage]]+Table4[[#This Row],[Gas kWh usage]])/Table4[[#This Row],[Total BOD removed]]),"")</f>
        <v/>
      </c>
      <c r="L83" s="83" t="str">
        <f>IF('Energy Data Entry'!E104+'Energy Data Entry'!J104+'Energy Data Entry'!O104+'Energy Data Entry'!T104+'Energy Data Entry'!Y104=0,"",'Energy Data Entry'!E104+'Energy Data Entry'!J104+'Energy Data Entry'!O104+'Energy Data Entry'!T104+'Energy Data Entry'!Y104)</f>
        <v/>
      </c>
      <c r="M83" s="83" t="str">
        <f>IF('Energy Data Entry'!F104+'Energy Data Entry'!K104+'Energy Data Entry'!P104++'Energy Data Entry'!U104+'Energy Data Entry'!Z104=0,"",'Energy Data Entry'!F104+'Energy Data Entry'!K104+'Energy Data Entry'!P104++'Energy Data Entry'!U104+'Energy Data Entry'!Z104)</f>
        <v/>
      </c>
      <c r="N83" s="85" t="str">
        <f>IF('Energy Data Entry'!G104+'Energy Data Entry'!L104+'Energy Data Entry'!Q104+'Energy Data Entry'!V104+'Energy Data Entry'!AA104=0,"",'Energy Data Entry'!G104+'Energy Data Entry'!L104+'Energy Data Entry'!Q104+'Energy Data Entry'!V104+'Energy Data Entry'!AA104)</f>
        <v/>
      </c>
      <c r="O83" s="85" t="str">
        <f>IF('Energy Data Entry'!D104+'Energy Data Entry'!I104+'Energy Data Entry'!N104+'Energy Data Entry'!S104+'Energy Data Entry'!X104=0,"",'Energy Data Entry'!D104+'Energy Data Entry'!I104+'Energy Data Entry'!N104+'Energy Data Entry'!S104+'Energy Data Entry'!X104)</f>
        <v/>
      </c>
      <c r="P83" s="412">
        <f>'Energy Data Entry'!AF104</f>
        <v>0</v>
      </c>
      <c r="Q83" s="151" t="str">
        <f>_xlfn.IFERROR(Table4[[#This Row],[Total electric cost]]/Table4[[#This Row],[Electric kWh usage]],"")</f>
        <v/>
      </c>
      <c r="R83" s="151" t="str">
        <f>_xlfn.IFERROR(Table4[[#This Row],[Electric Demand Cost]]/Table4[[#This Row],[Total Electric Demand (Billed)]],_xlfn.IFERROR(Table4[[#This Row],[Electric Demand Cost]]/Table4[[#This Row],[Total Electric Demand (Actual)]],""))</f>
        <v/>
      </c>
      <c r="S83" s="85" t="str">
        <f>_xlfn.IFERROR(Table4[[#This Row],[Total Gas cost]]+Table4[[#This Row],[Total electric cost]],"")</f>
        <v/>
      </c>
      <c r="T83" s="111"/>
      <c r="U83" s="85" t="str">
        <f>_xlfn.IFERROR(Table4[[#This Row],[Total Energy Cost]]/Table4[[#This Row],[Monthly Flow]],"")</f>
        <v/>
      </c>
      <c r="V83" s="85" t="str">
        <f>_xlfn.IFERROR(Table4[[#This Row],[Total Energy Cost]]/Table4[[#This Row],[Total BOD removed]],"")</f>
        <v/>
      </c>
      <c r="W83" s="116"/>
      <c r="X83" s="86" t="str">
        <f>IF('Process Data Entry'!G85="","",'Process Data Entry'!G85)</f>
        <v/>
      </c>
      <c r="Y83" s="86" t="str">
        <f>IF('Process Data Entry'!H85="","",'Process Data Entry'!H85)</f>
        <v/>
      </c>
      <c r="Z83" s="86">
        <f>IF('Process Data Entry'!I85="",0,'Process Data Entry'!I85)</f>
        <v>0</v>
      </c>
      <c r="AA83" s="86" t="str">
        <f>IF('Process Data Entry'!J85="","",'Process Data Entry'!J85)</f>
        <v/>
      </c>
      <c r="AB83" s="86" t="str">
        <f>IF('Process Data Entry'!K85="","",'Process Data Entry'!K85)</f>
        <v/>
      </c>
      <c r="AC83" s="86" t="str">
        <f>IF('Process Data Entry'!L85="","",'Process Data Entry'!L85)</f>
        <v/>
      </c>
      <c r="AD83" s="87" t="str">
        <f t="shared" si="6"/>
        <v/>
      </c>
      <c r="AE83" s="87" t="str">
        <f t="shared" si="7"/>
        <v/>
      </c>
      <c r="AF83" s="150" t="str">
        <f>IF('Process Data Entry'!M85="","",'Process Data Entry'!M85)</f>
        <v/>
      </c>
      <c r="AG83" s="150" t="str">
        <f>IF('Process Data Entry'!N85="","",'Process Data Entry'!N85)</f>
        <v/>
      </c>
      <c r="AH83" s="81" t="str">
        <f t="shared" si="8"/>
        <v/>
      </c>
    </row>
    <row r="84" spans="1:34" ht="15">
      <c r="A84" s="78">
        <v>7</v>
      </c>
      <c r="B84" s="88">
        <f>'Energy Data Entry'!B105</f>
        <v>45383</v>
      </c>
      <c r="C84" s="80" t="str">
        <f>IF(OR('Process Data Entry'!C86="",'Process Data Entry'!C86=0),"",'Process Data Entry'!C86)</f>
        <v/>
      </c>
      <c r="D84" s="81" t="str">
        <f>IF(Table4[[#This Row],[Avg Daily Flow]]="","",_xlfn.DAYS(EOMONTH(B84,0),EOMONTH(B84,-1))*C84)</f>
        <v/>
      </c>
      <c r="E84" s="81" t="str">
        <f>IF('Process Data Entry'!F86="","",'Process Data Entry'!F86)</f>
        <v/>
      </c>
      <c r="F84" s="82" t="str">
        <f>IF(Table4[[#This Row],[BOD removed]]="","",Table4[[#This Row],[BOD removed]]*_xlfn.DAYS(EOMONTH(Table4[[#This Row],[Column2]],0),EOMONTH(Table4[[#This Row],[Column2]],-1)))</f>
        <v/>
      </c>
      <c r="G84" s="83" t="str">
        <f>IF(SUM('Energy Data Entry'!C105,'Energy Data Entry'!H105,'Energy Data Entry'!M105,'Energy Data Entry'!R105,'Energy Data Entry'!W105)=0,"",SUM('Energy Data Entry'!C105,'Energy Data Entry'!H105,'Energy Data Entry'!M105,'Energy Data Entry'!R105,'Energy Data Entry'!W105))</f>
        <v/>
      </c>
      <c r="H84" s="83">
        <f>'Energy Data Entry'!AG105</f>
        <v>0</v>
      </c>
      <c r="I84" s="83" t="str">
        <f>IF(Table4[[#This Row],[Electric kWh usage]]="","",Table4[[#This Row],[Gas kWh usage]]+Table4[[#This Row],[Electric kWh usage]])</f>
        <v/>
      </c>
      <c r="J84" s="82" t="str">
        <f>IF(OR(Table4[[#This Row],[Electric kWh usage]]="",Table4[[#This Row],[Monthly Flow]]=""),"",(Table4[[#This Row],[Electric kWh usage]]+Table4[[#This Row],[Gas kWh usage]])/Table4[[#This Row],[Monthly Flow]])</f>
        <v/>
      </c>
      <c r="K84" s="84" t="str">
        <f>_xlfn.IFERROR(IF(Table4[[#This Row],[Electric kWh usage]]="","",(Table4[[#This Row],[Electric kWh usage]]+Table4[[#This Row],[Gas kWh usage]])/Table4[[#This Row],[Total BOD removed]]),"")</f>
        <v/>
      </c>
      <c r="L84" s="83" t="str">
        <f>IF('Energy Data Entry'!E105+'Energy Data Entry'!J105+'Energy Data Entry'!O105+'Energy Data Entry'!T105+'Energy Data Entry'!Y105=0,"",'Energy Data Entry'!E105+'Energy Data Entry'!J105+'Energy Data Entry'!O105+'Energy Data Entry'!T105+'Energy Data Entry'!Y105)</f>
        <v/>
      </c>
      <c r="M84" s="83" t="str">
        <f>IF('Energy Data Entry'!F105+'Energy Data Entry'!K105+'Energy Data Entry'!P105++'Energy Data Entry'!U105+'Energy Data Entry'!Z105=0,"",'Energy Data Entry'!F105+'Energy Data Entry'!K105+'Energy Data Entry'!P105++'Energy Data Entry'!U105+'Energy Data Entry'!Z105)</f>
        <v/>
      </c>
      <c r="N84" s="85" t="str">
        <f>IF('Energy Data Entry'!G105+'Energy Data Entry'!L105+'Energy Data Entry'!Q105+'Energy Data Entry'!V105+'Energy Data Entry'!AA105=0,"",'Energy Data Entry'!G105+'Energy Data Entry'!L105+'Energy Data Entry'!Q105+'Energy Data Entry'!V105+'Energy Data Entry'!AA105)</f>
        <v/>
      </c>
      <c r="O84" s="85" t="str">
        <f>IF('Energy Data Entry'!D105+'Energy Data Entry'!I105+'Energy Data Entry'!N105+'Energy Data Entry'!S105+'Energy Data Entry'!X105=0,"",'Energy Data Entry'!D105+'Energy Data Entry'!I105+'Energy Data Entry'!N105+'Energy Data Entry'!S105+'Energy Data Entry'!X105)</f>
        <v/>
      </c>
      <c r="P84" s="412">
        <f>'Energy Data Entry'!AF105</f>
        <v>0</v>
      </c>
      <c r="Q84" s="151" t="str">
        <f>_xlfn.IFERROR(Table4[[#This Row],[Total electric cost]]/Table4[[#This Row],[Electric kWh usage]],"")</f>
        <v/>
      </c>
      <c r="R84" s="151" t="str">
        <f>_xlfn.IFERROR(Table4[[#This Row],[Electric Demand Cost]]/Table4[[#This Row],[Total Electric Demand (Billed)]],_xlfn.IFERROR(Table4[[#This Row],[Electric Demand Cost]]/Table4[[#This Row],[Total Electric Demand (Actual)]],""))</f>
        <v/>
      </c>
      <c r="S84" s="85" t="str">
        <f>_xlfn.IFERROR(Table4[[#This Row],[Total Gas cost]]+Table4[[#This Row],[Total electric cost]],"")</f>
        <v/>
      </c>
      <c r="T84" s="111"/>
      <c r="U84" s="85" t="str">
        <f>_xlfn.IFERROR(Table4[[#This Row],[Total Energy Cost]]/Table4[[#This Row],[Monthly Flow]],"")</f>
        <v/>
      </c>
      <c r="V84" s="85" t="str">
        <f>_xlfn.IFERROR(Table4[[#This Row],[Total Energy Cost]]/Table4[[#This Row],[Total BOD removed]],"")</f>
        <v/>
      </c>
      <c r="W84" s="116"/>
      <c r="X84" s="86" t="str">
        <f>IF('Process Data Entry'!G86="","",'Process Data Entry'!G86)</f>
        <v/>
      </c>
      <c r="Y84" s="86" t="str">
        <f>IF('Process Data Entry'!H86="","",'Process Data Entry'!H86)</f>
        <v/>
      </c>
      <c r="Z84" s="86">
        <f>IF('Process Data Entry'!I86="",0,'Process Data Entry'!I86)</f>
        <v>0</v>
      </c>
      <c r="AA84" s="86" t="str">
        <f>IF('Process Data Entry'!J86="","",'Process Data Entry'!J86)</f>
        <v/>
      </c>
      <c r="AB84" s="86" t="str">
        <f>IF('Process Data Entry'!K86="","",'Process Data Entry'!K86)</f>
        <v/>
      </c>
      <c r="AC84" s="86" t="str">
        <f>IF('Process Data Entry'!L86="","",'Process Data Entry'!L86)</f>
        <v/>
      </c>
      <c r="AD84" s="87" t="str">
        <f t="shared" si="6"/>
        <v/>
      </c>
      <c r="AE84" s="87" t="str">
        <f t="shared" si="7"/>
        <v/>
      </c>
      <c r="AF84" s="150" t="str">
        <f>IF('Process Data Entry'!M86="","",'Process Data Entry'!M86)</f>
        <v/>
      </c>
      <c r="AG84" s="150" t="str">
        <f>IF('Process Data Entry'!N86="","",'Process Data Entry'!N86)</f>
        <v/>
      </c>
      <c r="AH84" s="81" t="str">
        <f t="shared" si="8"/>
        <v/>
      </c>
    </row>
    <row r="85" spans="1:34" ht="15">
      <c r="A85" s="78">
        <v>7</v>
      </c>
      <c r="B85" s="88">
        <f>'Energy Data Entry'!B106</f>
        <v>45413</v>
      </c>
      <c r="C85" s="80" t="str">
        <f>IF(OR('Process Data Entry'!C87="",'Process Data Entry'!C87=0),"",'Process Data Entry'!C87)</f>
        <v/>
      </c>
      <c r="D85" s="81" t="str">
        <f>IF(Table4[[#This Row],[Avg Daily Flow]]="","",_xlfn.DAYS(EOMONTH(B85,0),EOMONTH(B85,-1))*C85)</f>
        <v/>
      </c>
      <c r="E85" s="81" t="str">
        <f>IF('Process Data Entry'!F87="","",'Process Data Entry'!F87)</f>
        <v/>
      </c>
      <c r="F85" s="82" t="str">
        <f>IF(Table4[[#This Row],[BOD removed]]="","",Table4[[#This Row],[BOD removed]]*_xlfn.DAYS(EOMONTH(Table4[[#This Row],[Column2]],0),EOMONTH(Table4[[#This Row],[Column2]],-1)))</f>
        <v/>
      </c>
      <c r="G85" s="83" t="str">
        <f>IF(SUM('Energy Data Entry'!C106,'Energy Data Entry'!H106,'Energy Data Entry'!M106,'Energy Data Entry'!R106,'Energy Data Entry'!W106)=0,"",SUM('Energy Data Entry'!C106,'Energy Data Entry'!H106,'Energy Data Entry'!M106,'Energy Data Entry'!R106,'Energy Data Entry'!W106))</f>
        <v/>
      </c>
      <c r="H85" s="83">
        <f>'Energy Data Entry'!AG106</f>
        <v>0</v>
      </c>
      <c r="I85" s="83" t="str">
        <f>IF(Table4[[#This Row],[Electric kWh usage]]="","",Table4[[#This Row],[Gas kWh usage]]+Table4[[#This Row],[Electric kWh usage]])</f>
        <v/>
      </c>
      <c r="J85" s="82" t="str">
        <f>IF(OR(Table4[[#This Row],[Electric kWh usage]]="",Table4[[#This Row],[Monthly Flow]]=""),"",(Table4[[#This Row],[Electric kWh usage]]+Table4[[#This Row],[Gas kWh usage]])/Table4[[#This Row],[Monthly Flow]])</f>
        <v/>
      </c>
      <c r="K85" s="84" t="str">
        <f>_xlfn.IFERROR(IF(Table4[[#This Row],[Electric kWh usage]]="","",(Table4[[#This Row],[Electric kWh usage]]+Table4[[#This Row],[Gas kWh usage]])/Table4[[#This Row],[Total BOD removed]]),"")</f>
        <v/>
      </c>
      <c r="L85" s="83" t="str">
        <f>IF('Energy Data Entry'!E106+'Energy Data Entry'!J106+'Energy Data Entry'!O106+'Energy Data Entry'!T106+'Energy Data Entry'!Y106=0,"",'Energy Data Entry'!E106+'Energy Data Entry'!J106+'Energy Data Entry'!O106+'Energy Data Entry'!T106+'Energy Data Entry'!Y106)</f>
        <v/>
      </c>
      <c r="M85" s="83" t="str">
        <f>IF('Energy Data Entry'!F106+'Energy Data Entry'!K106+'Energy Data Entry'!P106++'Energy Data Entry'!U106+'Energy Data Entry'!Z106=0,"",'Energy Data Entry'!F106+'Energy Data Entry'!K106+'Energy Data Entry'!P106++'Energy Data Entry'!U106+'Energy Data Entry'!Z106)</f>
        <v/>
      </c>
      <c r="N85" s="85" t="str">
        <f>IF('Energy Data Entry'!G106+'Energy Data Entry'!L106+'Energy Data Entry'!Q106+'Energy Data Entry'!V106+'Energy Data Entry'!AA106=0,"",'Energy Data Entry'!G106+'Energy Data Entry'!L106+'Energy Data Entry'!Q106+'Energy Data Entry'!V106+'Energy Data Entry'!AA106)</f>
        <v/>
      </c>
      <c r="O85" s="85" t="str">
        <f>IF('Energy Data Entry'!D106+'Energy Data Entry'!I106+'Energy Data Entry'!N106+'Energy Data Entry'!S106+'Energy Data Entry'!X106=0,"",'Energy Data Entry'!D106+'Energy Data Entry'!I106+'Energy Data Entry'!N106+'Energy Data Entry'!S106+'Energy Data Entry'!X106)</f>
        <v/>
      </c>
      <c r="P85" s="412">
        <f>'Energy Data Entry'!AF106</f>
        <v>0</v>
      </c>
      <c r="Q85" s="151" t="str">
        <f>_xlfn.IFERROR(Table4[[#This Row],[Total electric cost]]/Table4[[#This Row],[Electric kWh usage]],"")</f>
        <v/>
      </c>
      <c r="R85" s="151" t="str">
        <f>_xlfn.IFERROR(Table4[[#This Row],[Electric Demand Cost]]/Table4[[#This Row],[Total Electric Demand (Billed)]],_xlfn.IFERROR(Table4[[#This Row],[Electric Demand Cost]]/Table4[[#This Row],[Total Electric Demand (Actual)]],""))</f>
        <v/>
      </c>
      <c r="S85" s="85" t="str">
        <f>_xlfn.IFERROR(Table4[[#This Row],[Total Gas cost]]+Table4[[#This Row],[Total electric cost]],"")</f>
        <v/>
      </c>
      <c r="T85" s="111"/>
      <c r="U85" s="85" t="str">
        <f>_xlfn.IFERROR(Table4[[#This Row],[Total Energy Cost]]/Table4[[#This Row],[Monthly Flow]],"")</f>
        <v/>
      </c>
      <c r="V85" s="85" t="str">
        <f>_xlfn.IFERROR(Table4[[#This Row],[Total Energy Cost]]/Table4[[#This Row],[Total BOD removed]],"")</f>
        <v/>
      </c>
      <c r="W85" s="116"/>
      <c r="X85" s="86" t="str">
        <f>IF('Process Data Entry'!G87="","",'Process Data Entry'!G87)</f>
        <v/>
      </c>
      <c r="Y85" s="86" t="str">
        <f>IF('Process Data Entry'!H87="","",'Process Data Entry'!H87)</f>
        <v/>
      </c>
      <c r="Z85" s="86">
        <f>IF('Process Data Entry'!I87="",0,'Process Data Entry'!I87)</f>
        <v>0</v>
      </c>
      <c r="AA85" s="86" t="str">
        <f>IF('Process Data Entry'!J87="","",'Process Data Entry'!J87)</f>
        <v/>
      </c>
      <c r="AB85" s="86" t="str">
        <f>IF('Process Data Entry'!K87="","",'Process Data Entry'!K87)</f>
        <v/>
      </c>
      <c r="AC85" s="86" t="str">
        <f>IF('Process Data Entry'!L87="","",'Process Data Entry'!L87)</f>
        <v/>
      </c>
      <c r="AD85" s="87" t="str">
        <f t="shared" si="6"/>
        <v/>
      </c>
      <c r="AE85" s="87" t="str">
        <f t="shared" si="7"/>
        <v/>
      </c>
      <c r="AF85" s="150" t="str">
        <f>IF('Process Data Entry'!M87="","",'Process Data Entry'!M87)</f>
        <v/>
      </c>
      <c r="AG85" s="150" t="str">
        <f>IF('Process Data Entry'!N87="","",'Process Data Entry'!N87)</f>
        <v/>
      </c>
      <c r="AH85" s="81" t="str">
        <f t="shared" si="8"/>
        <v/>
      </c>
    </row>
    <row r="86" spans="1:34" ht="15">
      <c r="A86" s="78">
        <v>7</v>
      </c>
      <c r="B86" s="88">
        <f>'Energy Data Entry'!B107</f>
        <v>45444</v>
      </c>
      <c r="C86" s="80" t="str">
        <f>IF(OR('Process Data Entry'!C88="",'Process Data Entry'!C88=0),"",'Process Data Entry'!C88)</f>
        <v/>
      </c>
      <c r="D86" s="81" t="str">
        <f>IF(Table4[[#This Row],[Avg Daily Flow]]="","",_xlfn.DAYS(EOMONTH(B86,0),EOMONTH(B86,-1))*C86)</f>
        <v/>
      </c>
      <c r="E86" s="81" t="str">
        <f>IF('Process Data Entry'!F88="","",'Process Data Entry'!F88)</f>
        <v/>
      </c>
      <c r="F86" s="82" t="str">
        <f>IF(Table4[[#This Row],[BOD removed]]="","",Table4[[#This Row],[BOD removed]]*_xlfn.DAYS(EOMONTH(Table4[[#This Row],[Column2]],0),EOMONTH(Table4[[#This Row],[Column2]],-1)))</f>
        <v/>
      </c>
      <c r="G86" s="83" t="str">
        <f>IF(SUM('Energy Data Entry'!C107,'Energy Data Entry'!H107,'Energy Data Entry'!M107,'Energy Data Entry'!R107,'Energy Data Entry'!W107)=0,"",SUM('Energy Data Entry'!C107,'Energy Data Entry'!H107,'Energy Data Entry'!M107,'Energy Data Entry'!R107,'Energy Data Entry'!W107))</f>
        <v/>
      </c>
      <c r="H86" s="83">
        <f>'Energy Data Entry'!AG107</f>
        <v>0</v>
      </c>
      <c r="I86" s="83" t="str">
        <f>IF(Table4[[#This Row],[Electric kWh usage]]="","",Table4[[#This Row],[Gas kWh usage]]+Table4[[#This Row],[Electric kWh usage]])</f>
        <v/>
      </c>
      <c r="J86" s="82" t="str">
        <f>IF(OR(Table4[[#This Row],[Electric kWh usage]]="",Table4[[#This Row],[Monthly Flow]]=""),"",(Table4[[#This Row],[Electric kWh usage]]+Table4[[#This Row],[Gas kWh usage]])/Table4[[#This Row],[Monthly Flow]])</f>
        <v/>
      </c>
      <c r="K86" s="84" t="str">
        <f>_xlfn.IFERROR(IF(Table4[[#This Row],[Electric kWh usage]]="","",(Table4[[#This Row],[Electric kWh usage]]+Table4[[#This Row],[Gas kWh usage]])/Table4[[#This Row],[Total BOD removed]]),"")</f>
        <v/>
      </c>
      <c r="L86" s="83" t="str">
        <f>IF('Energy Data Entry'!E107+'Energy Data Entry'!J107+'Energy Data Entry'!O107+'Energy Data Entry'!T107+'Energy Data Entry'!Y107=0,"",'Energy Data Entry'!E107+'Energy Data Entry'!J107+'Energy Data Entry'!O107+'Energy Data Entry'!T107+'Energy Data Entry'!Y107)</f>
        <v/>
      </c>
      <c r="M86" s="83" t="str">
        <f>IF('Energy Data Entry'!F107+'Energy Data Entry'!K107+'Energy Data Entry'!P107++'Energy Data Entry'!U107+'Energy Data Entry'!Z107=0,"",'Energy Data Entry'!F107+'Energy Data Entry'!K107+'Energy Data Entry'!P107++'Energy Data Entry'!U107+'Energy Data Entry'!Z107)</f>
        <v/>
      </c>
      <c r="N86" s="85" t="str">
        <f>IF('Energy Data Entry'!G107+'Energy Data Entry'!L107+'Energy Data Entry'!Q107+'Energy Data Entry'!V107+'Energy Data Entry'!AA107=0,"",'Energy Data Entry'!G107+'Energy Data Entry'!L107+'Energy Data Entry'!Q107+'Energy Data Entry'!V107+'Energy Data Entry'!AA107)</f>
        <v/>
      </c>
      <c r="O86" s="85" t="str">
        <f>IF('Energy Data Entry'!D107+'Energy Data Entry'!I107+'Energy Data Entry'!N107+'Energy Data Entry'!S107+'Energy Data Entry'!X107=0,"",'Energy Data Entry'!D107+'Energy Data Entry'!I107+'Energy Data Entry'!N107+'Energy Data Entry'!S107+'Energy Data Entry'!X107)</f>
        <v/>
      </c>
      <c r="P86" s="412">
        <f>'Energy Data Entry'!AF107</f>
        <v>0</v>
      </c>
      <c r="Q86" s="151" t="str">
        <f>_xlfn.IFERROR(Table4[[#This Row],[Total electric cost]]/Table4[[#This Row],[Electric kWh usage]],"")</f>
        <v/>
      </c>
      <c r="R86" s="151" t="str">
        <f>_xlfn.IFERROR(Table4[[#This Row],[Electric Demand Cost]]/Table4[[#This Row],[Total Electric Demand (Billed)]],_xlfn.IFERROR(Table4[[#This Row],[Electric Demand Cost]]/Table4[[#This Row],[Total Electric Demand (Actual)]],""))</f>
        <v/>
      </c>
      <c r="S86" s="85" t="str">
        <f>_xlfn.IFERROR(Table4[[#This Row],[Total Gas cost]]+Table4[[#This Row],[Total electric cost]],"")</f>
        <v/>
      </c>
      <c r="T86" s="111"/>
      <c r="U86" s="85" t="str">
        <f>_xlfn.IFERROR(Table4[[#This Row],[Total Energy Cost]]/Table4[[#This Row],[Monthly Flow]],"")</f>
        <v/>
      </c>
      <c r="V86" s="85" t="str">
        <f>_xlfn.IFERROR(Table4[[#This Row],[Total Energy Cost]]/Table4[[#This Row],[Total BOD removed]],"")</f>
        <v/>
      </c>
      <c r="W86" s="116"/>
      <c r="X86" s="86" t="str">
        <f>IF('Process Data Entry'!G88="","",'Process Data Entry'!G88)</f>
        <v/>
      </c>
      <c r="Y86" s="86" t="str">
        <f>IF('Process Data Entry'!H88="","",'Process Data Entry'!H88)</f>
        <v/>
      </c>
      <c r="Z86" s="86">
        <f>IF('Process Data Entry'!I88="",0,'Process Data Entry'!I88)</f>
        <v>0</v>
      </c>
      <c r="AA86" s="86" t="str">
        <f>IF('Process Data Entry'!J88="","",'Process Data Entry'!J88)</f>
        <v/>
      </c>
      <c r="AB86" s="86" t="str">
        <f>IF('Process Data Entry'!K88="","",'Process Data Entry'!K88)</f>
        <v/>
      </c>
      <c r="AC86" s="86" t="str">
        <f>IF('Process Data Entry'!L88="","",'Process Data Entry'!L88)</f>
        <v/>
      </c>
      <c r="AD86" s="87" t="str">
        <f t="shared" si="6"/>
        <v/>
      </c>
      <c r="AE86" s="87" t="str">
        <f t="shared" si="7"/>
        <v/>
      </c>
      <c r="AF86" s="150" t="str">
        <f>IF('Process Data Entry'!M88="","",'Process Data Entry'!M88)</f>
        <v/>
      </c>
      <c r="AG86" s="150" t="str">
        <f>IF('Process Data Entry'!N88="","",'Process Data Entry'!N88)</f>
        <v/>
      </c>
      <c r="AH86" s="81" t="str">
        <f t="shared" si="8"/>
        <v/>
      </c>
    </row>
    <row r="87" spans="1:34" s="105" customFormat="1" ht="15" thickBot="1">
      <c r="A87" s="97">
        <v>7</v>
      </c>
      <c r="B87" s="107">
        <f>'Energy Data Entry'!B108</f>
        <v>45474</v>
      </c>
      <c r="C87" s="361" t="str">
        <f>IF(OR('Process Data Entry'!C89="",'Process Data Entry'!C89=0),"",'Process Data Entry'!C89)</f>
        <v/>
      </c>
      <c r="D87" s="99" t="str">
        <f>IF(Table4[[#This Row],[Avg Daily Flow]]="","",_xlfn.DAYS(EOMONTH(B87,0),EOMONTH(B87,-1))*C87)</f>
        <v/>
      </c>
      <c r="E87" s="99" t="str">
        <f>IF('Process Data Entry'!F89="","",'Process Data Entry'!F89)</f>
        <v/>
      </c>
      <c r="F87" s="100" t="str">
        <f>IF(Table4[[#This Row],[BOD removed]]="","",Table4[[#This Row],[BOD removed]]*_xlfn.DAYS(EOMONTH(Table4[[#This Row],[Column2]],0),EOMONTH(Table4[[#This Row],[Column2]],-1)))</f>
        <v/>
      </c>
      <c r="G87" s="101" t="str">
        <f>IF(SUM('Energy Data Entry'!C108,'Energy Data Entry'!H108,'Energy Data Entry'!M108,'Energy Data Entry'!R108,'Energy Data Entry'!W108)=0,"",SUM('Energy Data Entry'!C108,'Energy Data Entry'!H108,'Energy Data Entry'!M108,'Energy Data Entry'!R108,'Energy Data Entry'!W108))</f>
        <v/>
      </c>
      <c r="H87" s="101">
        <f>'Energy Data Entry'!AG108</f>
        <v>0</v>
      </c>
      <c r="I87" s="101" t="str">
        <f>IF(Table4[[#This Row],[Electric kWh usage]]="","",Table4[[#This Row],[Gas kWh usage]]+Table4[[#This Row],[Electric kWh usage]])</f>
        <v/>
      </c>
      <c r="J87" s="100" t="str">
        <f>IF(OR(Table4[[#This Row],[Electric kWh usage]]="",Table4[[#This Row],[Monthly Flow]]=""),"",(Table4[[#This Row],[Electric kWh usage]]+Table4[[#This Row],[Gas kWh usage]])/Table4[[#This Row],[Monthly Flow]])</f>
        <v/>
      </c>
      <c r="K87" s="102" t="str">
        <f>_xlfn.IFERROR(IF(Table4[[#This Row],[Electric kWh usage]]="","",(Table4[[#This Row],[Electric kWh usage]]+Table4[[#This Row],[Gas kWh usage]])/Table4[[#This Row],[Total BOD removed]]),"")</f>
        <v/>
      </c>
      <c r="L87" s="101" t="str">
        <f>IF('Energy Data Entry'!E108+'Energy Data Entry'!J108+'Energy Data Entry'!O108+'Energy Data Entry'!T108+'Energy Data Entry'!Y108=0,"",'Energy Data Entry'!E108+'Energy Data Entry'!J108+'Energy Data Entry'!O108+'Energy Data Entry'!T108+'Energy Data Entry'!Y108)</f>
        <v/>
      </c>
      <c r="M87" s="101" t="str">
        <f>IF('Energy Data Entry'!F108+'Energy Data Entry'!K108+'Energy Data Entry'!P108++'Energy Data Entry'!U108+'Energy Data Entry'!Z108=0,"",'Energy Data Entry'!F108+'Energy Data Entry'!K108+'Energy Data Entry'!P108++'Energy Data Entry'!U108+'Energy Data Entry'!Z108)</f>
        <v/>
      </c>
      <c r="N87" s="103" t="str">
        <f>IF('Energy Data Entry'!G108+'Energy Data Entry'!L108+'Energy Data Entry'!Q108+'Energy Data Entry'!V108+'Energy Data Entry'!AA108=0,"",'Energy Data Entry'!G108+'Energy Data Entry'!L108+'Energy Data Entry'!Q108+'Energy Data Entry'!V108+'Energy Data Entry'!AA108)</f>
        <v/>
      </c>
      <c r="O87" s="103" t="str">
        <f>IF('Energy Data Entry'!D108+'Energy Data Entry'!I108+'Energy Data Entry'!N108+'Energy Data Entry'!S108+'Energy Data Entry'!X108=0,"",'Energy Data Entry'!D108+'Energy Data Entry'!I108+'Energy Data Entry'!N108+'Energy Data Entry'!S108+'Energy Data Entry'!X108)</f>
        <v/>
      </c>
      <c r="P87" s="413">
        <f>'Energy Data Entry'!AF108</f>
        <v>0</v>
      </c>
      <c r="Q87" s="152" t="str">
        <f>_xlfn.IFERROR(Table4[[#This Row],[Total electric cost]]/Table4[[#This Row],[Electric kWh usage]],"")</f>
        <v/>
      </c>
      <c r="R87" s="152" t="str">
        <f>_xlfn.IFERROR(Table4[[#This Row],[Electric Demand Cost]]/Table4[[#This Row],[Total Electric Demand (Billed)]],_xlfn.IFERROR(Table4[[#This Row],[Electric Demand Cost]]/Table4[[#This Row],[Total Electric Demand (Actual)]],""))</f>
        <v/>
      </c>
      <c r="S87" s="103" t="str">
        <f>_xlfn.IFERROR(Table4[[#This Row],[Total Gas cost]]+Table4[[#This Row],[Total electric cost]],"")</f>
        <v/>
      </c>
      <c r="T87" s="112"/>
      <c r="U87" s="103" t="str">
        <f>_xlfn.IFERROR(Table4[[#This Row],[Total Energy Cost]]/Table4[[#This Row],[Monthly Flow]],"")</f>
        <v/>
      </c>
      <c r="V87" s="103" t="str">
        <f>_xlfn.IFERROR(Table4[[#This Row],[Total Energy Cost]]/Table4[[#This Row],[Total BOD removed]],"")</f>
        <v/>
      </c>
      <c r="W87" s="362"/>
      <c r="X87" s="104" t="str">
        <f>IF('Process Data Entry'!G89="","",'Process Data Entry'!G89)</f>
        <v/>
      </c>
      <c r="Y87" s="104" t="str">
        <f>IF('Process Data Entry'!H89="","",'Process Data Entry'!H89)</f>
        <v/>
      </c>
      <c r="Z87" s="104">
        <f>IF('Process Data Entry'!I89="",0,'Process Data Entry'!I89)</f>
        <v>0</v>
      </c>
      <c r="AA87" s="104" t="str">
        <f>IF('Process Data Entry'!J89="","",'Process Data Entry'!J89)</f>
        <v/>
      </c>
      <c r="AB87" s="104" t="str">
        <f>IF('Process Data Entry'!K89="","",'Process Data Entry'!K89)</f>
        <v/>
      </c>
      <c r="AC87" s="104" t="str">
        <f>IF('Process Data Entry'!L89="","",'Process Data Entry'!L89)</f>
        <v/>
      </c>
      <c r="AD87" s="363" t="str">
        <f t="shared" si="6"/>
        <v/>
      </c>
      <c r="AE87" s="363" t="str">
        <f t="shared" si="7"/>
        <v/>
      </c>
      <c r="AF87" s="364" t="str">
        <f>IF('Process Data Entry'!M89="","",'Process Data Entry'!M89)</f>
        <v/>
      </c>
      <c r="AG87" s="364" t="str">
        <f>IF('Process Data Entry'!N89="","",'Process Data Entry'!N89)</f>
        <v/>
      </c>
      <c r="AH87" s="99" t="str">
        <f t="shared" si="8"/>
        <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8"/>
      <c r="M96" s="388"/>
      <c r="S96" s="110"/>
      <c r="V96" s="117"/>
      <c r="W96" s="158" t="s">
        <v>59</v>
      </c>
      <c r="X96" s="158"/>
      <c r="Y96" s="158" t="s">
        <v>171</v>
      </c>
      <c r="Z96" s="158" t="s">
        <v>172</v>
      </c>
      <c r="AA96" s="158" t="s">
        <v>170</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8"/>
      <c r="M97" s="388"/>
      <c r="S97" s="110"/>
      <c r="V97" s="117"/>
      <c r="W97" s="52">
        <v>1</v>
      </c>
      <c r="X97" s="129" t="str">
        <f>TEXT(DATE(YEAR(B$4),MONTH(B$4),DAY(B$4)),"mmm yyyy")&amp;" - "&amp;TEXT(DATE(YEAR(B$15),MONTH(B$15),DAY(B$15)),"mmm yyyy")</f>
        <v>Aug 2017 - Jul 2018</v>
      </c>
      <c r="Y97" s="148" t="str">
        <f>_xlfn.IFERROR(AVERAGEIF(Table4[Year],W97,Table4[Avg effluent TKN]),"")</f>
        <v/>
      </c>
      <c r="Z97" s="148" t="str">
        <f>_xlfn.IFERROR(AVERAGEIF(Table4[Year],W97,Table4[Avg effluent NH3]),"")</f>
        <v/>
      </c>
      <c r="AA97" s="148" t="str">
        <f>_xlfn.IFERROR(AVERAGEIF(Table4[Year],W97,Table4[Avg effluent NOx]),"")</f>
        <v/>
      </c>
      <c r="AB97" s="148" t="str">
        <f>IF(AB$96=Y$96,Y97,Z97)</f>
        <v/>
      </c>
      <c r="AC97" s="149"/>
      <c r="AD97" s="161" t="str">
        <f>_xlfn.IFERROR(IF(SUMPRODUCT(--(Table4[Year]=W97),--(Table4[Monthly Flow]&lt;&gt;""))/SUMPRODUCT(--(Table4[Year]=W97),--(Table4[Approx TN removal (lbs)]&lt;&gt;""))&lt;=3,AVERAGEIF(Table4[Year],W97,Table4[Approx TN removal (lbs)]),"Insufficient Data"),"")</f>
        <v/>
      </c>
    </row>
    <row r="98" spans="2:30" ht="29">
      <c r="B98" s="128">
        <v>1</v>
      </c>
      <c r="C98" s="129" t="str">
        <f>TEXT(DATE(YEAR(B$4),MONTH(B$4),DAY(B$4)),"mmm yyyy")&amp;" - "&amp;TEXT(DATE(YEAR(B$15),MONTH(B$15),DAY(B$15)),"mmm yyyy")</f>
        <v>Aug 2017 - Jul 2018</v>
      </c>
      <c r="D98" s="130" t="str">
        <f>_xlfn.IFERROR(AVERAGEIF(Table4[Year],B98,Table4[Avg Daily Flow]),"")</f>
        <v/>
      </c>
      <c r="E98" s="131">
        <f>SUMIF(Table4[Year],B98,Table4[Monthly Flow])</f>
        <v>0</v>
      </c>
      <c r="F98" s="163">
        <f>SUMPRODUCT(Table4[Monthly Flow],--(Table4[Year]=B98),--(Table4[Monthly Flow]&lt;&gt;""),--(Table4[Total Energy Usage]&lt;&gt;""))</f>
        <v>0</v>
      </c>
      <c r="G98" s="133">
        <f>SUMPRODUCT(Table4[Total Energy Usage],--(Table4[Year]=B98),--(Table4[Monthly Flow]&lt;&gt;""),--(Table4[Electric kWh usage]&lt;&gt;""))</f>
        <v>0</v>
      </c>
      <c r="H98" s="141" t="e">
        <f aca="true" t="shared" si="9" ref="H98:H104">G98/F98</f>
        <v>#DIV/0!</v>
      </c>
      <c r="I98" s="134">
        <f>SUMPRODUCT(--(Table4[Monthly Flow]&lt;&gt;""),--(Table4[Total Energy Usage]&lt;&gt;""),--(Table4[Year]=B98))</f>
        <v>0</v>
      </c>
      <c r="K98" s="59"/>
      <c r="L98" s="389"/>
      <c r="M98" s="389"/>
      <c r="N98" s="60"/>
      <c r="O98" s="118"/>
      <c r="P98" s="118"/>
      <c r="Q98" s="118"/>
      <c r="W98">
        <v>2</v>
      </c>
      <c r="X98" s="129" t="str">
        <f>TEXT(DATE(YEAR(B$16),MONTH(B$16),DAY(B$16)),"mmm yyyy")&amp;" - "&amp;TEXT(DATE(YEAR(B$27),MONTH(B$27),DAY(B$27)),"mmm yyyy")</f>
        <v>Aug 2018 - Jul 2019</v>
      </c>
      <c r="Y98" s="148" t="str">
        <f>_xlfn.IFERROR(AVERAGEIF(Table4[Year],W98,Table4[Avg effluent TKN]),"")</f>
        <v/>
      </c>
      <c r="Z98" s="148" t="str">
        <f>_xlfn.IFERROR(AVERAGEIF(Table4[Year],W98,Table4[Avg effluent NH3]),"")</f>
        <v/>
      </c>
      <c r="AA98" s="148" t="str">
        <f>_xlfn.IFERROR(AVERAGEIF(Table4[Year],W98,Table4[Avg effluent NOx]),"")</f>
        <v/>
      </c>
      <c r="AB98" s="148" t="str">
        <f aca="true" t="shared" si="10" ref="AB98:AB103">IF(AB$96=Y$96,Y98,Z98)</f>
        <v/>
      </c>
      <c r="AC98" s="149"/>
      <c r="AD98" s="161" t="str">
        <f>_xlfn.IFERROR(IF(SUMPRODUCT(--(Table4[Year]=W98),--(Table4[Monthly Flow]&lt;&gt;""))/SUMPRODUCT(--(Table4[Year]=W98),--(Table4[Approx TN removal (lbs)]&lt;&gt;""))&lt;=3,AVERAGEIF(Table4[Year],W98,Table4[Approx TN removal (lbs)]),"Insufficient Data"),"")</f>
        <v/>
      </c>
    </row>
    <row r="99" spans="2:30" ht="29">
      <c r="B99" s="128">
        <v>2</v>
      </c>
      <c r="C99" s="129" t="str">
        <f>TEXT(DATE(YEAR(B$16),MONTH(B$16),DAY(B$16)),"mmm yyyy")&amp;" - "&amp;TEXT(DATE(YEAR(B$27),MONTH(B$27),DAY(B$27)),"mmm yyyy")</f>
        <v>Aug 2018 - Jul 2019</v>
      </c>
      <c r="D99" s="130" t="str">
        <f>_xlfn.IFERROR(AVERAGEIF(Table4[Year],B99,Table4[Avg Daily Flow]),"")</f>
        <v/>
      </c>
      <c r="E99" s="131">
        <f>SUMIF(Table4[Year],B99,Table4[Monthly Flow])</f>
        <v>0</v>
      </c>
      <c r="F99" s="163">
        <f>SUMPRODUCT(Table4[Monthly Flow],--(Table4[Year]=B99),--(Table4[Monthly Flow]&lt;&gt;""),--(Table4[Total Energy Usage]&lt;&gt;""))</f>
        <v>0</v>
      </c>
      <c r="G99" s="133">
        <f>SUMPRODUCT(Table4[Total Energy Usage],--(Table4[Year]=B99),--(Table4[Monthly Flow]&lt;&gt;""),--(Table4[Electric kWh usage]&lt;&gt;""))</f>
        <v>0</v>
      </c>
      <c r="H99" s="141" t="e">
        <f t="shared" si="9"/>
        <v>#DIV/0!</v>
      </c>
      <c r="I99" s="134">
        <f>SUMPRODUCT(--(Table4[Monthly Flow]&lt;&gt;""),--(Table4[Total Energy Usage]&lt;&gt;""),--(Table4[Year]=B99))</f>
        <v>0</v>
      </c>
      <c r="K99" s="59"/>
      <c r="L99" s="389"/>
      <c r="M99" s="389"/>
      <c r="N99" s="60"/>
      <c r="O99" s="118"/>
      <c r="P99" s="118"/>
      <c r="Q99" s="118"/>
      <c r="W99">
        <v>3</v>
      </c>
      <c r="X99" s="129" t="str">
        <f>TEXT(DATE(YEAR(B$28),MONTH(B$28),DAY(B$28)),"mmm yyyy")&amp;" - "&amp;TEXT(DATE(YEAR(B$39),MONTH(B$39),DAY(B$39)),"mmm yyyy")</f>
        <v>Aug 2019 - Jul 2020</v>
      </c>
      <c r="Y99" s="148" t="str">
        <f>_xlfn.IFERROR(AVERAGEIF(Table4[Year],W99,Table4[Avg effluent TKN]),"")</f>
        <v/>
      </c>
      <c r="Z99" s="148" t="str">
        <f>_xlfn.IFERROR(AVERAGEIF(Table4[Year],W99,Table4[Avg effluent NH3]),"")</f>
        <v/>
      </c>
      <c r="AA99" s="148" t="str">
        <f>_xlfn.IFERROR(AVERAGEIF(Table4[Year],W99,Table4[Avg effluent NOx]),"")</f>
        <v/>
      </c>
      <c r="AB99" s="148" t="str">
        <f t="shared" si="10"/>
        <v/>
      </c>
      <c r="AC99" s="149"/>
      <c r="AD99" s="161" t="str">
        <f>_xlfn.IFERROR(IF(SUMPRODUCT(--(Table4[Year]=W99),--(Table4[Monthly Flow]&lt;&gt;""))/SUMPRODUCT(--(Table4[Year]=W99),--(Table4[Approx TN removal (lbs)]&lt;&gt;""))&lt;=3,AVERAGEIF(Table4[Year],W99,Table4[Approx TN removal (lbs)]),"Insufficient Data"),"")</f>
        <v/>
      </c>
    </row>
    <row r="100" spans="2:30" ht="29">
      <c r="B100" s="128">
        <v>3</v>
      </c>
      <c r="C100" s="129" t="str">
        <f>TEXT(DATE(YEAR(B$28),MONTH(B$28),DAY(B$28)),"mmm yyyy")&amp;" - "&amp;TEXT(DATE(YEAR(B$39),MONTH(B$39),DAY(B$39)),"mmm yyyy")</f>
        <v>Aug 2019 - Jul 2020</v>
      </c>
      <c r="D100" s="130" t="str">
        <f>_xlfn.IFERROR(AVERAGEIF(Table4[Year],B100,Table4[Avg Daily Flow]),"")</f>
        <v/>
      </c>
      <c r="E100" s="131">
        <f>SUMIF(Table4[Year],B100,Table4[Monthly Flow])</f>
        <v>0</v>
      </c>
      <c r="F100" s="163">
        <f>SUMPRODUCT(Table4[Monthly Flow],--(Table4[Year]=B100),--(Table4[Monthly Flow]&lt;&gt;""),--(Table4[Total Energy Usage]&lt;&gt;""))</f>
        <v>0</v>
      </c>
      <c r="G100" s="133">
        <f>SUMPRODUCT(Table4[Total Energy Usage],--(Table4[Year]=B100),--(Table4[Monthly Flow]&lt;&gt;""),--(Table4[Electric kWh usage]&lt;&gt;""))</f>
        <v>0</v>
      </c>
      <c r="H100" s="141" t="e">
        <f t="shared" si="9"/>
        <v>#DIV/0!</v>
      </c>
      <c r="I100" s="134">
        <f>SUMPRODUCT(--(Table4[Monthly Flow]&lt;&gt;""),--(Table4[Total Energy Usage]&lt;&gt;""),--(Table4[Year]=B100))</f>
        <v>0</v>
      </c>
      <c r="K100" s="59"/>
      <c r="L100" s="389"/>
      <c r="M100" s="389"/>
      <c r="N100" s="60"/>
      <c r="O100" s="118"/>
      <c r="P100" s="118"/>
      <c r="Q100" s="118"/>
      <c r="W100">
        <v>4</v>
      </c>
      <c r="X100" s="129" t="str">
        <f>TEXT(DATE(YEAR(B$40),MONTH(B$40),DAY(B$40)),"mmm yyyy")&amp;" - "&amp;TEXT(DATE(YEAR(B$51),MONTH(B$51),DAY(B$51)),"mmm yyyy")</f>
        <v>Aug 2020 - Jul 2021</v>
      </c>
      <c r="Y100" s="148" t="str">
        <f>_xlfn.IFERROR(AVERAGEIF(Table4[Year],W100,Table4[Avg effluent TKN]),"")</f>
        <v/>
      </c>
      <c r="Z100" s="148" t="str">
        <f>_xlfn.IFERROR(AVERAGEIF(Table4[Year],W100,Table4[Avg effluent NH3]),"")</f>
        <v/>
      </c>
      <c r="AA100" s="148" t="str">
        <f>_xlfn.IFERROR(AVERAGEIF(Table4[Year],W100,Table4[Avg effluent NOx]),"")</f>
        <v/>
      </c>
      <c r="AB100" s="148" t="str">
        <f t="shared" si="10"/>
        <v/>
      </c>
      <c r="AC100" s="149"/>
      <c r="AD100" s="161" t="str">
        <f>_xlfn.IFERROR(IF(SUMPRODUCT(--(Table4[Year]=W100),--(Table4[Monthly Flow]&lt;&gt;""))/SUMPRODUCT(--(Table4[Year]=W100),--(Table4[Approx TN removal (lbs)]&lt;&gt;""))&lt;=3,AVERAGEIF(Table4[Year],W100,Table4[Approx TN removal (lbs)]),"Insufficient Data"),"")</f>
        <v/>
      </c>
    </row>
    <row r="101" spans="2:30" ht="29">
      <c r="B101" s="128">
        <v>4</v>
      </c>
      <c r="C101" s="129" t="str">
        <f>TEXT(DATE(YEAR(B$40),MONTH(B$40),DAY(B$40)),"mmm yyyy")&amp;" - "&amp;TEXT(DATE(YEAR(B$51),MONTH(B$51),DAY(B$51)),"mmm yyyy")</f>
        <v>Aug 2020 - Jul 2021</v>
      </c>
      <c r="D101" s="130" t="str">
        <f>_xlfn.IFERROR(AVERAGEIF(Table4[Year],B101,Table4[Avg Daily Flow]),"")</f>
        <v/>
      </c>
      <c r="E101" s="131">
        <f>SUMIF(Table4[Year],B101,Table4[Monthly Flow])</f>
        <v>0</v>
      </c>
      <c r="F101" s="163">
        <f>SUMPRODUCT(Table4[Monthly Flow],--(Table4[Year]=B101),--(Table4[Monthly Flow]&lt;&gt;""),--(Table4[Total Energy Usage]&lt;&gt;""))</f>
        <v>0</v>
      </c>
      <c r="G101" s="133">
        <f>SUMPRODUCT(Table4[Total Energy Usage],--(Table4[Year]=B101),--(Table4[Monthly Flow]&lt;&gt;""),--(Table4[Electric kWh usage]&lt;&gt;""))</f>
        <v>0</v>
      </c>
      <c r="H101" s="141" t="e">
        <f t="shared" si="9"/>
        <v>#DIV/0!</v>
      </c>
      <c r="I101" s="134">
        <f>SUMPRODUCT(--(Table4[Monthly Flow]&lt;&gt;""),--(Table4[Total Energy Usage]&lt;&gt;""),--(Table4[Year]=B101))</f>
        <v>0</v>
      </c>
      <c r="K101" s="59"/>
      <c r="L101" s="389"/>
      <c r="M101" s="389"/>
      <c r="N101" s="60"/>
      <c r="O101" s="118"/>
      <c r="P101" s="118"/>
      <c r="Q101" s="118"/>
      <c r="W101">
        <v>5</v>
      </c>
      <c r="X101" s="129" t="str">
        <f>TEXT(DATE(YEAR(B$52),MONTH(B$52),DAY(B$52)),"mmm yyyy")&amp;" - "&amp;TEXT(DATE(YEAR(B$63),MONTH(B$63),DAY(B$63)),"mmm yyyy")</f>
        <v>Aug 2021 - Jul 2022</v>
      </c>
      <c r="Y101" s="148" t="str">
        <f>_xlfn.IFERROR(AVERAGEIF(Table4[Year],W101,Table4[Avg effluent TKN]),"")</f>
        <v/>
      </c>
      <c r="Z101" s="148" t="str">
        <f>_xlfn.IFERROR(AVERAGEIF(Table4[Year],W101,Table4[Avg effluent NH3]),"")</f>
        <v/>
      </c>
      <c r="AA101" s="148" t="str">
        <f>_xlfn.IFERROR(AVERAGEIF(Table4[Year],W101,Table4[Avg effluent NOx]),"")</f>
        <v/>
      </c>
      <c r="AB101" s="148" t="str">
        <f t="shared" si="10"/>
        <v/>
      </c>
      <c r="AC101" s="149"/>
      <c r="AD101" s="161" t="str">
        <f>_xlfn.IFERROR(IF(SUMPRODUCT(--(Table4[Year]=W101),--(Table4[Monthly Flow]&lt;&gt;""))/SUMPRODUCT(--(Table4[Year]=W101),--(Table4[Approx TN removal (lbs)]&lt;&gt;""))&lt;=3,AVERAGEIF(Table4[Year],W101,Table4[Approx TN removal (lbs)]),"Insufficient Data"),"")</f>
        <v/>
      </c>
    </row>
    <row r="102" spans="2:30" ht="29">
      <c r="B102" s="128">
        <v>5</v>
      </c>
      <c r="C102" s="129" t="str">
        <f>TEXT(DATE(YEAR(B$52),MONTH(B$52),DAY(B$52)),"mmm yyyy")&amp;" - "&amp;TEXT(DATE(YEAR(B$63),MONTH(B$63),DAY(B$63)),"mmm yyyy")</f>
        <v>Aug 2021 - Jul 2022</v>
      </c>
      <c r="D102" s="130" t="str">
        <f>_xlfn.IFERROR(AVERAGEIF(Table4[Year],B102,Table4[Avg Daily Flow]),"")</f>
        <v/>
      </c>
      <c r="E102" s="131">
        <f>SUMIF(Table4[Year],B102,Table4[Monthly Flow])</f>
        <v>0</v>
      </c>
      <c r="F102" s="163">
        <f>SUMPRODUCT(Table4[Monthly Flow],--(Table4[Year]=B102),--(Table4[Monthly Flow]&lt;&gt;""),--(Table4[Total Energy Usage]&lt;&gt;""))</f>
        <v>0</v>
      </c>
      <c r="G102" s="133">
        <f>SUMPRODUCT(Table4[Total Energy Usage],--(Table4[Year]=B102),--(Table4[Monthly Flow]&lt;&gt;""),--(Table4[Electric kWh usage]&lt;&gt;""))</f>
        <v>0</v>
      </c>
      <c r="H102" s="141" t="e">
        <f t="shared" si="9"/>
        <v>#DIV/0!</v>
      </c>
      <c r="I102" s="134">
        <f>SUMPRODUCT(--(Table4[Monthly Flow]&lt;&gt;""),--(Table4[Total Energy Usage]&lt;&gt;""),--(Table4[Year]=B102))</f>
        <v>0</v>
      </c>
      <c r="K102" s="59"/>
      <c r="L102" s="389"/>
      <c r="M102" s="389"/>
      <c r="N102" s="60"/>
      <c r="O102" s="118"/>
      <c r="P102" s="118"/>
      <c r="Q102" s="118"/>
      <c r="W102">
        <v>6</v>
      </c>
      <c r="X102" s="129" t="str">
        <f>TEXT(DATE(YEAR(B$64),MONTH(B$64),DAY(B$64)),"mmm yyyy")&amp;" - "&amp;TEXT(DATE(YEAR(B$75),MONTH(B$75),DAY(B$75)),"mmm yyyy")</f>
        <v>Aug 2022 - Jul 2023</v>
      </c>
      <c r="Y102" s="148" t="str">
        <f>_xlfn.IFERROR(AVERAGEIF(Table4[Year],W102,Table4[Avg effluent TKN]),"")</f>
        <v/>
      </c>
      <c r="Z102" s="148" t="str">
        <f>_xlfn.IFERROR(AVERAGEIF(Table4[Year],W102,Table4[Avg effluent NH3]),"")</f>
        <v/>
      </c>
      <c r="AA102" s="148" t="str">
        <f>_xlfn.IFERROR(AVERAGEIF(Table4[Year],W102,Table4[Avg effluent NOx]),"")</f>
        <v/>
      </c>
      <c r="AB102" s="148" t="str">
        <f t="shared" si="10"/>
        <v/>
      </c>
      <c r="AC102" s="149"/>
      <c r="AD102" s="161" t="str">
        <f>_xlfn.IFERROR(IF(SUMPRODUCT(--(Table4[Year]=W102),--(Table4[Monthly Flow]&lt;&gt;""))/SUMPRODUCT(--(Table4[Year]=W102),--(Table4[Approx TN removal (lbs)]&lt;&gt;""))&lt;=3,AVERAGEIF(Table4[Year],W102,Table4[Approx TN removal (lbs)]),"Insufficient Data"),"")</f>
        <v/>
      </c>
    </row>
    <row r="103" spans="2:30" ht="29">
      <c r="B103" s="128">
        <v>6</v>
      </c>
      <c r="C103" s="129" t="str">
        <f>TEXT(DATE(YEAR(B$64),MONTH(B$64),DAY(B$64)),"mmm yyyy")&amp;" - "&amp;TEXT(DATE(YEAR(B$75),MONTH(B$75),DAY(B$75)),"mmm yyyy")</f>
        <v>Aug 2022 - Jul 2023</v>
      </c>
      <c r="D103" s="130" t="str">
        <f>_xlfn.IFERROR(AVERAGEIF(Table4[Year],B103,Table4[Avg Daily Flow]),"")</f>
        <v/>
      </c>
      <c r="E103" s="131">
        <f>SUMIF(Table4[Year],B103,Table4[Monthly Flow])</f>
        <v>0</v>
      </c>
      <c r="F103" s="163">
        <f>SUMPRODUCT(Table4[Monthly Flow],--(Table4[Year]=B103),--(Table4[Monthly Flow]&lt;&gt;""),--(Table4[Total Energy Usage]&lt;&gt;""))</f>
        <v>0</v>
      </c>
      <c r="G103" s="133">
        <f>SUMPRODUCT(Table4[Total Energy Usage],--(Table4[Year]=B103),--(Table4[Monthly Flow]&lt;&gt;""),--(Table4[Electric kWh usage]&lt;&gt;""))</f>
        <v>0</v>
      </c>
      <c r="H103" s="141" t="e">
        <f t="shared" si="9"/>
        <v>#DIV/0!</v>
      </c>
      <c r="I103" s="134">
        <f>SUMPRODUCT(--(Table4[Monthly Flow]&lt;&gt;""),--(Table4[Total Energy Usage]&lt;&gt;""),--(Table4[Year]=B103))</f>
        <v>0</v>
      </c>
      <c r="K103" s="59"/>
      <c r="L103" s="389"/>
      <c r="M103" s="389"/>
      <c r="N103" s="60"/>
      <c r="O103" s="118"/>
      <c r="P103" s="118"/>
      <c r="Q103" s="118"/>
      <c r="W103">
        <v>7</v>
      </c>
      <c r="X103" s="129" t="str">
        <f>TEXT(DATE(YEAR(B$76),MONTH(B$76),DAY(B$76)),"mmm yyyy")&amp;" - "&amp;TEXT(DATE(YEAR(B$87),MONTH(B$87),DAY(B$87)),"mmm yyyy")</f>
        <v>Aug 2023 - Jul 2024</v>
      </c>
      <c r="Y103" s="148" t="str">
        <f>_xlfn.IFERROR(AVERAGEIF(Table4[Year],W103,Table4[Avg effluent TKN]),"")</f>
        <v/>
      </c>
      <c r="Z103" s="148" t="str">
        <f>_xlfn.IFERROR(AVERAGEIF(Table4[Year],W103,Table4[Avg effluent NH3]),"")</f>
        <v/>
      </c>
      <c r="AA103" s="148" t="str">
        <f>_xlfn.IFERROR(AVERAGEIF(Table4[Year],W103,Table4[Avg effluent NOx]),"")</f>
        <v/>
      </c>
      <c r="AB103" s="148" t="str">
        <f t="shared" si="10"/>
        <v/>
      </c>
      <c r="AC103" s="149"/>
      <c r="AD103" s="161" t="str">
        <f>_xlfn.IFERROR(IF(SUMPRODUCT(--(Table4[Year]=W103),--(Table4[Monthly Flow]&lt;&gt;""))/SUMPRODUCT(--(Table4[Year]=W103),--(Table4[Approx TN removal (lbs)]&lt;&gt;""))&lt;=3,AVERAGEIF(Table4[Year],W103,Table4[Approx TN removal (lbs)]),"Insufficient Data"),"")</f>
        <v/>
      </c>
    </row>
    <row r="104" spans="2:25" ht="15">
      <c r="B104" s="128">
        <v>7</v>
      </c>
      <c r="C104" s="129" t="str">
        <f>TEXT(DATE(YEAR(B$76),MONTH(B$76),DAY(B$76)),"mmm yyyy")&amp;" - "&amp;TEXT(DATE(YEAR(B$87),MONTH(B$87),DAY(B$87)),"mmm yyyy")</f>
        <v>Aug 2023 - Jul 2024</v>
      </c>
      <c r="D104" s="130" t="str">
        <f>_xlfn.IFERROR(AVERAGEIF(Table4[Year],B104,Table4[Avg Daily Flow]),"")</f>
        <v/>
      </c>
      <c r="E104" s="131">
        <f>SUMIF(Table4[Year],B104,Table4[Monthly Flow])</f>
        <v>0</v>
      </c>
      <c r="F104" s="163">
        <f>SUMPRODUCT(Table4[Monthly Flow],--(Table4[Year]=B104),--(Table4[Monthly Flow]&lt;&gt;""),--(Table4[Total Energy Usage]&lt;&gt;""))</f>
        <v>0</v>
      </c>
      <c r="G104" s="133">
        <f>SUMPRODUCT(Table4[Total Energy Usage],--(Table4[Year]=B104),--(Table4[Monthly Flow]&lt;&gt;""),--(Table4[Electric kWh usage]&lt;&gt;""))</f>
        <v>0</v>
      </c>
      <c r="H104" s="141" t="e">
        <f t="shared" si="9"/>
        <v>#DIV/0!</v>
      </c>
      <c r="I104" s="134">
        <f>SUMPRODUCT(--(Table4[Monthly Flow]&lt;&gt;""),--(Table4[Total Energy Usage]&lt;&gt;""),--(Table4[Year]=B104))</f>
        <v>0</v>
      </c>
      <c r="K104" s="59"/>
      <c r="L104" s="389"/>
      <c r="M104" s="389"/>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Aug 2017 - Jul 2018</v>
      </c>
      <c r="Y109" s="58" t="str">
        <f>_xlfn.IFERROR(AVERAGEIF(Table4[Year],W109,Table4[Avg influent TP]),"")</f>
        <v/>
      </c>
      <c r="Z109" s="58" t="str">
        <f>_xlfn.IFERROR(AVERAGEIF(Table4[Year],W109,Table4[Avg effluent TP]),"")</f>
        <v/>
      </c>
      <c r="AA109" s="58" t="str">
        <f aca="true" t="shared" si="11" ref="AA109:AA115">IF(OR(Y109="",Z109=""),"Insufficient Data",Y109-Z109)</f>
        <v>Insufficient Data</v>
      </c>
      <c r="AB109" s="59" t="str">
        <f>_xlfn.IFERROR(IF(SUMPRODUCT(--(Table4[Year]=W109),--(Table4[Monthly Flow]&lt;&gt;0))/SUMPRODUCT(--(Table4[Year]=W109),--(Table4[Calculated TP removal (lbs)]&lt;&gt;""))&gt;3,"Insufficient Data",AA109*E98*8.34),"Insufficient Data")</f>
        <v>Insufficient Data</v>
      </c>
      <c r="AC109" s="166" t="str">
        <f>_xlfn.IFERROR(AVERAGEIF(Table4[Year],W109,Table4[Calculated TP removal (lbs)]),"")</f>
        <v/>
      </c>
    </row>
    <row r="110" spans="2:29" ht="29">
      <c r="B110" s="128">
        <v>1</v>
      </c>
      <c r="C110" s="129" t="str">
        <f>TEXT(DATE(YEAR(B$4),MONTH(B$4),DAY(B$4)),"mmm yyyy")&amp;" - "&amp;TEXT(DATE(YEAR(B$15),MONTH(B$15),DAY(B$15)),"mmm yyyy")</f>
        <v>Aug 2017 - Jul 2018</v>
      </c>
      <c r="D110" s="130" t="e">
        <f>AVERAGEIF(Table4[Year],B110,Table4[BOD removed])</f>
        <v>#DIV/0!</v>
      </c>
      <c r="E110" s="138">
        <f>SUMIF(Table4[Year],B110,Table4[Total BOD removed])</f>
        <v>0</v>
      </c>
      <c r="F110" s="133">
        <f>SUMPRODUCT(Table4[Total BOD removed],--(Table4[Total Energy Usage]&lt;&gt;""),--(Table4[Year]=B110))</f>
        <v>0</v>
      </c>
      <c r="G110" s="133">
        <f>SUMPRODUCT(Table4[Total Energy Usage],--(Table4[Year]=B110),--(Table4[Total BOD removed]&lt;&gt;""),--(Table4[Total Energy Usage]&lt;&gt;""))</f>
        <v>0</v>
      </c>
      <c r="H110" s="139" t="e">
        <f>G110/F110</f>
        <v>#DIV/0!</v>
      </c>
      <c r="I110" s="136">
        <f>SUMPRODUCT(--(Table4[Total BOD removed]&lt;&gt;""),--(Table4[Total Energy Usage]&lt;&gt;""),--(Table4[Year]=B110))</f>
        <v>0</v>
      </c>
      <c r="W110">
        <v>2</v>
      </c>
      <c r="X110" s="129" t="str">
        <f>TEXT(DATE(YEAR(B$16),MONTH(B$16),DAY(B$16)),"mmm yyyy")&amp;" - "&amp;TEXT(DATE(YEAR(B$27),MONTH(B$27),DAY(B$27)),"mmm yyyy")</f>
        <v>Aug 2018 - Jul 2019</v>
      </c>
      <c r="Y110" s="58" t="str">
        <f>_xlfn.IFERROR(AVERAGEIF(Table4[Year],W110,Table4[Avg influent TP]),"")</f>
        <v/>
      </c>
      <c r="Z110" s="58" t="str">
        <f>_xlfn.IFERROR(AVERAGEIF(Table4[Year],W110,Table4[Avg effluent TP]),"")</f>
        <v/>
      </c>
      <c r="AA110" s="58" t="str">
        <f t="shared" si="11"/>
        <v>Insufficient Data</v>
      </c>
      <c r="AB110" s="59" t="str">
        <f>_xlfn.IFERROR(IF(SUMPRODUCT(--(Table4[Year]=W110),--(Table4[Monthly Flow]&lt;&gt;0))/SUMPRODUCT(--(Table4[Year]=W110),--(Table4[Calculated TP removal (lbs)]&lt;&gt;""))&gt;3,"Insufficient Data",AA110*E99*8.34),"Insufficient Data")</f>
        <v>Insufficient Data</v>
      </c>
      <c r="AC110" s="166" t="str">
        <f>_xlfn.IFERROR(AVERAGEIF(Table4[Year],W110,Table4[Calculated TP removal (lbs)]),"")</f>
        <v/>
      </c>
    </row>
    <row r="111" spans="2:29" ht="29">
      <c r="B111" s="128">
        <v>2</v>
      </c>
      <c r="C111" s="129" t="str">
        <f>TEXT(DATE(YEAR(B$16),MONTH(B$16),DAY(B$16)),"mmm yyyy")&amp;" - "&amp;TEXT(DATE(YEAR(B$27),MONTH(B$27),DAY(B$27)),"mmm yyyy")</f>
        <v>Aug 2018 - Jul 2019</v>
      </c>
      <c r="D111" s="130" t="e">
        <f>AVERAGEIF(Table4[Year],B99,Table4[BOD removed])</f>
        <v>#DIV/0!</v>
      </c>
      <c r="E111" s="138">
        <f>SUMIF(Table4[Year],B111,Table4[Total BOD removed])</f>
        <v>0</v>
      </c>
      <c r="F111" s="133">
        <f>SUMPRODUCT(Table4[Total BOD removed],--(Table4[Total BOD removed]&lt;&gt;""),--(Table4[Total Energy Usage]&lt;&gt;""),--(Table4[Year]=B111))</f>
        <v>0</v>
      </c>
      <c r="G111" s="133">
        <f>SUMPRODUCT(Table4[Total Energy Usage],--(Table4[Year]=B111),--(Table4[Total BOD removed]&lt;&gt;""),--(Table4[Total Energy Usage]&lt;&gt;""))</f>
        <v>0</v>
      </c>
      <c r="H111" s="139" t="e">
        <f aca="true" t="shared" si="12" ref="H111:H116">G111/F111</f>
        <v>#DIV/0!</v>
      </c>
      <c r="I111" s="136">
        <f>SUMPRODUCT(--(Table4[Total BOD removed]&lt;&gt;""),--(Table4[Total Energy Usage]&lt;&gt;""),--(Table4[Year]=B111))</f>
        <v>0</v>
      </c>
      <c r="W111">
        <v>3</v>
      </c>
      <c r="X111" s="129" t="str">
        <f>TEXT(DATE(YEAR(B$28),MONTH(B$28),DAY(B$28)),"mmm yyyy")&amp;" - "&amp;TEXT(DATE(YEAR(B$39),MONTH(B$39),DAY(B$39)),"mmm yyyy")</f>
        <v>Aug 2019 - Jul 2020</v>
      </c>
      <c r="Y111" s="58" t="str">
        <f>_xlfn.IFERROR(AVERAGEIF(Table4[Year],W111,Table4[Avg influent TP]),"")</f>
        <v/>
      </c>
      <c r="Z111" s="58" t="str">
        <f>_xlfn.IFERROR(AVERAGEIF(Table4[Year],W111,Table4[Avg effluent TP]),"")</f>
        <v/>
      </c>
      <c r="AA111" s="58" t="str">
        <f t="shared" si="11"/>
        <v>Insufficient Data</v>
      </c>
      <c r="AB111" s="59" t="str">
        <f>_xlfn.IFERROR(IF(SUMPRODUCT(--(Table4[Year]=W111),--(Table4[Monthly Flow]&lt;&gt;0))/SUMPRODUCT(--(Table4[Year]=W111),--(Table4[Calculated TP removal (lbs)]&lt;&gt;""))&gt;3,"Insufficient Data",AA111*E100*8.34),"Insufficient Data")</f>
        <v>Insufficient Data</v>
      </c>
      <c r="AC111" s="166" t="str">
        <f>_xlfn.IFERROR(AVERAGEIF(Table4[Year],W111,Table4[Calculated TP removal (lbs)]),"")</f>
        <v/>
      </c>
    </row>
    <row r="112" spans="2:29" ht="29">
      <c r="B112" s="128">
        <v>3</v>
      </c>
      <c r="C112" s="129" t="str">
        <f>TEXT(DATE(YEAR(B$28),MONTH(B$28),DAY(B$28)),"mmm yyyy")&amp;" - "&amp;TEXT(DATE(YEAR(B$39),MONTH(B$39),DAY(B$39)),"mmm yyyy")</f>
        <v>Aug 2019 - Jul 2020</v>
      </c>
      <c r="D112" s="130" t="e">
        <f>AVERAGEIF(Table4[Year],B100,Table4[BOD removed])</f>
        <v>#DIV/0!</v>
      </c>
      <c r="E112" s="138">
        <f>SUMIF(Table4[Year],B112,Table4[Total BOD removed])</f>
        <v>0</v>
      </c>
      <c r="F112" s="133">
        <f>SUMPRODUCT(Table4[Total BOD removed],--(Table4[Total BOD removed]&lt;&gt;""),--(Table4[Total Energy Usage]&lt;&gt;""),--(Table4[Year]=B112))</f>
        <v>0</v>
      </c>
      <c r="G112" s="133">
        <f>SUMPRODUCT(Table4[Total Energy Usage],--(Table4[Year]=B112),--(Table4[Total BOD removed]&lt;&gt;""),--(Table4[Total Energy Usage]&lt;&gt;""))</f>
        <v>0</v>
      </c>
      <c r="H112" s="139" t="e">
        <f t="shared" si="12"/>
        <v>#DIV/0!</v>
      </c>
      <c r="I112" s="136">
        <f>SUMPRODUCT(--(Table4[Total BOD removed]&lt;&gt;""),--(Table4[Total Energy Usage]&lt;&gt;""),--(Table4[Year]=B112))</f>
        <v>0</v>
      </c>
      <c r="W112">
        <v>4</v>
      </c>
      <c r="X112" s="129" t="str">
        <f>TEXT(DATE(YEAR(B$40),MONTH(B$40),DAY(B$40)),"mmm yyyy")&amp;" - "&amp;TEXT(DATE(YEAR(B$51),MONTH(B$51),DAY(B$51)),"mmm yyyy")</f>
        <v>Aug 2020 - Jul 2021</v>
      </c>
      <c r="Y112" s="58" t="str">
        <f>_xlfn.IFERROR(AVERAGEIF(Table4[Year],W112,Table4[Avg influent TP]),"")</f>
        <v/>
      </c>
      <c r="Z112" s="58" t="str">
        <f>_xlfn.IFERROR(AVERAGEIF(Table4[Year],W112,Table4[Avg effluent TP]),"")</f>
        <v/>
      </c>
      <c r="AA112" s="58" t="str">
        <f t="shared" si="11"/>
        <v>Insufficient Data</v>
      </c>
      <c r="AB112" s="59" t="str">
        <f>_xlfn.IFERROR(IF(SUMPRODUCT(--(Table4[Year]=W112),--(Table4[Monthly Flow]&lt;&gt;0))/SUMPRODUCT(--(Table4[Year]=W112),--(Table4[Calculated TP removal (lbs)]&lt;&gt;""))&gt;3,"Insufficient Data",AA112*E101*8.34),"Insufficient Data")</f>
        <v>Insufficient Data</v>
      </c>
      <c r="AC112" s="166" t="str">
        <f>_xlfn.IFERROR(AVERAGEIF(Table4[Year],W112,Table4[Calculated TP removal (lbs)]),"")</f>
        <v/>
      </c>
    </row>
    <row r="113" spans="2:29" ht="29">
      <c r="B113" s="128">
        <v>4</v>
      </c>
      <c r="C113" s="129" t="str">
        <f>TEXT(DATE(YEAR(B$40),MONTH(B$40),DAY(B$40)),"mmm yyyy")&amp;" - "&amp;TEXT(DATE(YEAR(B$51),MONTH(B$51),DAY(B$51)),"mmm yyyy")</f>
        <v>Aug 2020 - Jul 2021</v>
      </c>
      <c r="D113" s="130" t="e">
        <f>AVERAGEIF(Table4[Year],B101,Table4[BOD removed])</f>
        <v>#DIV/0!</v>
      </c>
      <c r="E113" s="138">
        <f>SUMIF(Table4[Year],B113,Table4[Total BOD removed])</f>
        <v>0</v>
      </c>
      <c r="F113" s="133">
        <f>SUMPRODUCT(Table4[Total BOD removed],--(Table4[Total BOD removed]&lt;&gt;""),--(Table4[Total Energy Usage]&lt;&gt;""),--(Table4[Year]=B113))</f>
        <v>0</v>
      </c>
      <c r="G113" s="133">
        <f>SUMPRODUCT(Table4[Total Energy Usage],--(Table4[Year]=B113),--(Table4[Total BOD removed]&lt;&gt;""),--(Table4[Total Energy Usage]&lt;&gt;""))</f>
        <v>0</v>
      </c>
      <c r="H113" s="139" t="e">
        <f t="shared" si="12"/>
        <v>#DIV/0!</v>
      </c>
      <c r="I113" s="136">
        <f>SUMPRODUCT(--(Table4[Total BOD removed]&lt;&gt;""),--(Table4[Total Energy Usage]&lt;&gt;""),--(Table4[Year]=B113))</f>
        <v>0</v>
      </c>
      <c r="W113">
        <v>5</v>
      </c>
      <c r="X113" s="129" t="str">
        <f>TEXT(DATE(YEAR(B$52),MONTH(B$52),DAY(B$52)),"mmm yyyy")&amp;" - "&amp;TEXT(DATE(YEAR(B$63),MONTH(B$63),DAY(B$63)),"mmm yyyy")</f>
        <v>Aug 2021 - Jul 2022</v>
      </c>
      <c r="Y113" s="58" t="str">
        <f>_xlfn.IFERROR(AVERAGEIF(Table4[Year],W113,Table4[Avg influent TP]),"")</f>
        <v/>
      </c>
      <c r="Z113" s="58" t="str">
        <f>_xlfn.IFERROR(AVERAGEIF(Table4[Year],W113,Table4[Avg effluent TP]),"")</f>
        <v/>
      </c>
      <c r="AA113" s="58" t="str">
        <f t="shared" si="11"/>
        <v>Insufficient Data</v>
      </c>
      <c r="AB113" s="59" t="str">
        <f>_xlfn.IFERROR(IF(SUMPRODUCT(--(Table4[Year]=W113),--(Table4[Monthly Flow]&lt;&gt;0))/SUMPRODUCT(--(Table4[Year]=W113),--(Table4[Calculated TP removal (lbs)]&lt;&gt;""))&gt;3,"Insufficient Data",AA113*E102*8.34),"Insufficient Data")</f>
        <v>Insufficient Data</v>
      </c>
      <c r="AC113" s="166" t="str">
        <f>_xlfn.IFERROR(AVERAGEIF(Table4[Year],W113,Table4[Calculated TP removal (lbs)]),"")</f>
        <v/>
      </c>
    </row>
    <row r="114" spans="2:29" ht="29">
      <c r="B114" s="128">
        <v>5</v>
      </c>
      <c r="C114" s="129" t="str">
        <f>TEXT(DATE(YEAR(B$52),MONTH(B$52),DAY(B$52)),"mmm yyyy")&amp;" - "&amp;TEXT(DATE(YEAR(B$63),MONTH(B$63),DAY(B$63)),"mmm yyyy")</f>
        <v>Aug 2021 - Jul 2022</v>
      </c>
      <c r="D114" s="130" t="e">
        <f>AVERAGEIF(Table4[Year],B102,Table4[BOD removed])</f>
        <v>#DIV/0!</v>
      </c>
      <c r="E114" s="138">
        <f>SUMIF(Table4[Year],B114,Table4[Total BOD removed])</f>
        <v>0</v>
      </c>
      <c r="F114" s="133">
        <f>SUMPRODUCT(Table4[Total BOD removed],--(Table4[Total BOD removed]&lt;&gt;""),--(Table4[Total Energy Usage]&lt;&gt;""),--(Table4[Year]=B114))</f>
        <v>0</v>
      </c>
      <c r="G114" s="133">
        <f>SUMPRODUCT(Table4[Total Energy Usage],--(Table4[Year]=B114),--(Table4[Total BOD removed]&lt;&gt;""),--(Table4[Total Energy Usage]&lt;&gt;""))</f>
        <v>0</v>
      </c>
      <c r="H114" s="139" t="e">
        <f t="shared" si="12"/>
        <v>#DIV/0!</v>
      </c>
      <c r="I114" s="136">
        <f>SUMPRODUCT(--(Table4[Total BOD removed]&lt;&gt;""),--(Table4[Total Energy Usage]&lt;&gt;""),--(Table4[Year]=B114))</f>
        <v>0</v>
      </c>
      <c r="W114">
        <v>6</v>
      </c>
      <c r="X114" s="129" t="str">
        <f>TEXT(DATE(YEAR(B$64),MONTH(B$64),DAY(B$64)),"mmm yyyy")&amp;" - "&amp;TEXT(DATE(YEAR(B$75),MONTH(B$75),DAY(B$75)),"mmm yyyy")</f>
        <v>Aug 2022 - Jul 2023</v>
      </c>
      <c r="Y114" s="58" t="str">
        <f>_xlfn.IFERROR(AVERAGEIF(Table4[Year],W114,Table4[Avg influent TP]),"")</f>
        <v/>
      </c>
      <c r="Z114" s="58" t="str">
        <f>_xlfn.IFERROR(AVERAGEIF(Table4[Year],W114,Table4[Avg effluent TP]),"")</f>
        <v/>
      </c>
      <c r="AA114" s="58" t="str">
        <f t="shared" si="11"/>
        <v>Insufficient Data</v>
      </c>
      <c r="AB114" s="59" t="str">
        <f>_xlfn.IFERROR(IF(SUMPRODUCT(--(Table4[Year]=W114),--(Table4[Monthly Flow]&lt;&gt;0))/SUMPRODUCT(--(Table4[Year]=W114),--(Table4[Calculated TP removal (lbs)]&lt;&gt;""))&gt;3,"Insufficient Data",AA114*E103*8.34),"Insufficient Data")</f>
        <v>Insufficient Data</v>
      </c>
      <c r="AC114" s="166" t="str">
        <f>_xlfn.IFERROR(AVERAGEIF(Table4[Year],W114,Table4[Calculated TP removal (lbs)]),"")</f>
        <v/>
      </c>
    </row>
    <row r="115" spans="2:29" ht="29">
      <c r="B115" s="128">
        <v>6</v>
      </c>
      <c r="C115" s="129" t="str">
        <f>TEXT(DATE(YEAR(B$64),MONTH(B$64),DAY(B$64)),"mmm yyyy")&amp;" - "&amp;TEXT(DATE(YEAR(B$75),MONTH(B$75),DAY(B$75)),"mmm yyyy")</f>
        <v>Aug 2022 - Jul 2023</v>
      </c>
      <c r="D115" s="130" t="e">
        <f>AVERAGEIF(Table4[Year],B103,Table4[BOD removed])</f>
        <v>#DIV/0!</v>
      </c>
      <c r="E115" s="138">
        <f>SUMIF(Table4[Year],B115,Table4[Total BOD removed])</f>
        <v>0</v>
      </c>
      <c r="F115" s="133">
        <f>SUMPRODUCT(Table4[Total BOD removed],--(Table4[Total BOD removed]&lt;&gt;""),--(Table4[Total Energy Usage]&lt;&gt;""),--(Table4[Year]=B115))</f>
        <v>0</v>
      </c>
      <c r="G115" s="133">
        <f>SUMPRODUCT(Table4[Total Energy Usage],--(Table4[Year]=B115),--(Table4[Total BOD removed]&lt;&gt;""),--(Table4[Total Energy Usage]&lt;&gt;""))</f>
        <v>0</v>
      </c>
      <c r="H115" s="139" t="e">
        <f t="shared" si="12"/>
        <v>#DIV/0!</v>
      </c>
      <c r="I115" s="136">
        <f>SUMPRODUCT(--(Table4[Total BOD removed]&lt;&gt;""),--(Table4[Total Energy Usage]&lt;&gt;""),--(Table4[Year]=B115))</f>
        <v>0</v>
      </c>
      <c r="W115">
        <v>7</v>
      </c>
      <c r="X115" s="129" t="str">
        <f>TEXT(DATE(YEAR(B$76),MONTH(B$76),DAY(B$76)),"mmm yyyy")&amp;" - "&amp;TEXT(DATE(YEAR(B$87),MONTH(B$87),DAY(B$87)),"mmm yyyy")</f>
        <v>Aug 2023 - Jul 2024</v>
      </c>
      <c r="Y115" s="58" t="str">
        <f>_xlfn.IFERROR(AVERAGEIF(Table4[Year],W115,Table4[Avg influent TP]),"")</f>
        <v/>
      </c>
      <c r="Z115" s="58" t="str">
        <f>_xlfn.IFERROR(AVERAGEIF(Table4[Year],W115,Table4[Avg effluent TP]),"")</f>
        <v/>
      </c>
      <c r="AA115" s="58" t="str">
        <f t="shared" si="11"/>
        <v>Insufficient Data</v>
      </c>
      <c r="AB115" s="59" t="str">
        <f>_xlfn.IFERROR(IF(SUMPRODUCT(--(Table4[Year]=W115),--(Table4[Monthly Flow]&lt;&gt;0))/SUMPRODUCT(--(Table4[Year]=W115),--(Table4[Calculated TP removal (lbs)]&lt;&gt;""))&gt;3,"Insufficient Data",AA115*E104*8.34),"Insufficient Data")</f>
        <v>Insufficient Data</v>
      </c>
      <c r="AC115" s="166" t="str">
        <f>_xlfn.IFERROR(AVERAGEIF(Table4[Year],W115,Table4[Calculated TP removal (lbs)]),"")</f>
        <v/>
      </c>
    </row>
    <row r="116" spans="2:9" ht="15">
      <c r="B116" s="128">
        <v>7</v>
      </c>
      <c r="C116" s="129" t="str">
        <f>TEXT(DATE(YEAR(B$76),MONTH(B$76),DAY(B$76)),"mmm yyyy")&amp;" - "&amp;TEXT(DATE(YEAR(B$87),MONTH(B$87),DAY(B$87)),"mmm yyyy")</f>
        <v>Aug 2023 - Jul 2024</v>
      </c>
      <c r="D116" s="130" t="e">
        <f>AVERAGEIF(Table4[Year],B104,Table4[BOD removed])</f>
        <v>#DIV/0!</v>
      </c>
      <c r="E116" s="138">
        <f>SUMIF(Table4[Year],B116,Table4[Total BOD removed])</f>
        <v>0</v>
      </c>
      <c r="F116" s="133">
        <f>SUMPRODUCT(Table4[Total BOD removed],--(Table4[Total BOD removed]&lt;&gt;""),--(Table4[Total Energy Usage]&lt;&gt;""),--(Table4[Year]=B116))</f>
        <v>0</v>
      </c>
      <c r="G116" s="133">
        <f>SUMPRODUCT(Table4[Total Energy Usage],--(Table4[Year]=B116),--(Table4[Total BOD removed]&lt;&gt;""),--(Table4[Total Energy Usage]&lt;&gt;""))</f>
        <v>0</v>
      </c>
      <c r="H116" s="139" t="e">
        <f t="shared" si="12"/>
        <v>#DIV/0!</v>
      </c>
      <c r="I116" s="136">
        <f>SUMPRODUCT(--(Table4[Total BOD removed]&lt;&gt;""),--(Table4[Total Energy Usage]&lt;&gt;""),--(Table4[Year]=B116))</f>
        <v>0</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Aug 2017 - Jul 2018</v>
      </c>
      <c r="D121" s="130" t="e">
        <f>AVERAGEIF(Table4[Year],B121,Table4[Avg Daily Flow])</f>
        <v>#DIV/0!</v>
      </c>
      <c r="E121" s="140">
        <f>SUMIF(Table4[Year],B121,Table4[Monthly Flow])</f>
        <v>0</v>
      </c>
      <c r="F121" s="141">
        <f>SUMPRODUCT(Table4[Monthly Flow],--(Table4[Year]=B121),--(Table4[Monthly Flow]&lt;&gt;""),--(Table4[Total Energy Cost]&lt;&gt;""))</f>
        <v>0</v>
      </c>
      <c r="G121" s="142">
        <f>SUMPRODUCT(Table4[Total Energy Cost],--(Table4[Year]=B121),--(Table4[Monthly Flow]&lt;&gt;""),--(Table4[Total Energy Cost]&lt;&gt;""))</f>
        <v>0</v>
      </c>
      <c r="H121" s="142" t="e">
        <f>G121/F121</f>
        <v>#DIV/0!</v>
      </c>
      <c r="I121" s="134">
        <f>SUMPRODUCT(--(Table4[Monthly Flow]&lt;&gt;""),--(Table4[Total Energy Cost]&lt;&gt;""),--(Table4[Year]=B121))</f>
        <v>0</v>
      </c>
    </row>
    <row r="122" spans="2:9" ht="15">
      <c r="B122" s="128">
        <v>2</v>
      </c>
      <c r="C122" s="129" t="str">
        <f>TEXT(DATE(YEAR(B$16),MONTH(B$16),DAY(B$16)),"mmm yyyy")&amp;" - "&amp;TEXT(DATE(YEAR(B$27),MONTH(B$27),DAY(B$27)),"mmm yyyy")</f>
        <v>Aug 2018 - Jul 2019</v>
      </c>
      <c r="D122" s="130" t="e">
        <f>AVERAGEIF(Table4[Year],B122,Table4[Avg Daily Flow])</f>
        <v>#DIV/0!</v>
      </c>
      <c r="E122" s="140">
        <f>SUMIF(Table4[Year],B122,Table4[Monthly Flow])</f>
        <v>0</v>
      </c>
      <c r="F122" s="141">
        <f>SUMPRODUCT(Table4[Monthly Flow],--(Table4[Year]=B122),--(Table4[Monthly Flow]&lt;&gt;""),--(Table4[Total Energy Cost]&lt;&gt;""))</f>
        <v>0</v>
      </c>
      <c r="G122" s="142">
        <f>SUMPRODUCT(Table4[Total Energy Cost],--(Table4[Year]=B122),--(Table4[Monthly Flow]&lt;&gt;""),--(Table4[Total Energy Cost]&lt;&gt;""))</f>
        <v>0</v>
      </c>
      <c r="H122" s="142" t="e">
        <f aca="true" t="shared" si="13" ref="H122:H127">G122/F122</f>
        <v>#DIV/0!</v>
      </c>
      <c r="I122" s="134">
        <f>SUMPRODUCT(--(Table4[Monthly Flow]&lt;&gt;""),--(Table4[Total Energy Cost]&lt;&gt;""),--(Table4[Year]=B122))</f>
        <v>0</v>
      </c>
    </row>
    <row r="123" spans="2:9" ht="15">
      <c r="B123" s="128">
        <v>3</v>
      </c>
      <c r="C123" s="129" t="str">
        <f>TEXT(DATE(YEAR(B$28),MONTH(B$28),DAY(B$28)),"mmm yyyy")&amp;" - "&amp;TEXT(DATE(YEAR(B$39),MONTH(B$39),DAY(B$39)),"mmm yyyy")</f>
        <v>Aug 2019 - Jul 2020</v>
      </c>
      <c r="D123" s="130" t="e">
        <f>AVERAGEIF(Table4[Year],B123,Table4[Avg Daily Flow])</f>
        <v>#DIV/0!</v>
      </c>
      <c r="E123" s="140">
        <f>SUMIF(Table4[Year],B123,Table4[Monthly Flow])</f>
        <v>0</v>
      </c>
      <c r="F123" s="141">
        <f>SUMPRODUCT(Table4[Monthly Flow],--(Table4[Year]=B123),--(Table4[Monthly Flow]&lt;&gt;""),--(Table4[Total Energy Cost]&lt;&gt;""))</f>
        <v>0</v>
      </c>
      <c r="G123" s="142">
        <f>SUMPRODUCT(Table4[Total Energy Cost],--(Table4[Year]=B123),--(Table4[Monthly Flow]&lt;&gt;""),--(Table4[Total Energy Cost]&lt;&gt;""))</f>
        <v>0</v>
      </c>
      <c r="H123" s="142" t="e">
        <f t="shared" si="13"/>
        <v>#DIV/0!</v>
      </c>
      <c r="I123" s="134">
        <f>SUMPRODUCT(--(Table4[Monthly Flow]&lt;&gt;""),--(Table4[Total Energy Cost]&lt;&gt;""),--(Table4[Year]=B123))</f>
        <v>0</v>
      </c>
    </row>
    <row r="124" spans="2:9" ht="15">
      <c r="B124" s="128">
        <v>4</v>
      </c>
      <c r="C124" s="129" t="str">
        <f>TEXT(DATE(YEAR(B$40),MONTH(B$40),DAY(B$40)),"mmm yyyy")&amp;" - "&amp;TEXT(DATE(YEAR(B$51),MONTH(B$51),DAY(B$51)),"mmm yyyy")</f>
        <v>Aug 2020 - Jul 2021</v>
      </c>
      <c r="D124" s="130" t="e">
        <f>AVERAGEIF(Table4[Year],B124,Table4[Avg Daily Flow])</f>
        <v>#DIV/0!</v>
      </c>
      <c r="E124" s="140">
        <f>SUMIF(Table4[Year],B124,Table4[Monthly Flow])</f>
        <v>0</v>
      </c>
      <c r="F124" s="141">
        <f>SUMPRODUCT(Table4[Monthly Flow],--(Table4[Year]=B124),--(Table4[Monthly Flow]&lt;&gt;""),--(Table4[Total Energy Cost]&lt;&gt;""))</f>
        <v>0</v>
      </c>
      <c r="G124" s="142">
        <f>SUMPRODUCT(Table4[Total Energy Cost],--(Table4[Year]=B124),--(Table4[Monthly Flow]&lt;&gt;""),--(Table4[Total Energy Cost]&lt;&gt;""))</f>
        <v>0</v>
      </c>
      <c r="H124" s="142" t="e">
        <f t="shared" si="13"/>
        <v>#DIV/0!</v>
      </c>
      <c r="I124" s="134">
        <f>SUMPRODUCT(--(Table4[Monthly Flow]&lt;&gt;""),--(Table4[Total Energy Cost]&lt;&gt;""),--(Table4[Year]=B124))</f>
        <v>0</v>
      </c>
    </row>
    <row r="125" spans="2:9" ht="15">
      <c r="B125" s="128">
        <v>5</v>
      </c>
      <c r="C125" s="129" t="str">
        <f>TEXT(DATE(YEAR(B$52),MONTH(B$52),DAY(B$52)),"mmm yyyy")&amp;" - "&amp;TEXT(DATE(YEAR(B$63),MONTH(B$63),DAY(B$63)),"mmm yyyy")</f>
        <v>Aug 2021 - Jul 2022</v>
      </c>
      <c r="D125" s="130" t="e">
        <f>AVERAGEIF(Table4[Year],B125,Table4[Avg Daily Flow])</f>
        <v>#DIV/0!</v>
      </c>
      <c r="E125" s="140">
        <f>SUMIF(Table4[Year],B125,Table4[Monthly Flow])</f>
        <v>0</v>
      </c>
      <c r="F125" s="141">
        <f>SUMPRODUCT(Table4[Monthly Flow],--(Table4[Year]=B125),--(Table4[Monthly Flow]&lt;&gt;""),--(Table4[Total Energy Cost]&lt;&gt;""))</f>
        <v>0</v>
      </c>
      <c r="G125" s="142">
        <f>SUMPRODUCT(Table4[Total Energy Cost],--(Table4[Year]=B125),--(Table4[Monthly Flow]&lt;&gt;""),--(Table4[Total Energy Cost]&lt;&gt;""))</f>
        <v>0</v>
      </c>
      <c r="H125" s="142" t="e">
        <f t="shared" si="13"/>
        <v>#DIV/0!</v>
      </c>
      <c r="I125" s="134">
        <f>SUMPRODUCT(--(Table4[Monthly Flow]&lt;&gt;""),--(Table4[Total Energy Cost]&lt;&gt;""),--(Table4[Year]=B125))</f>
        <v>0</v>
      </c>
    </row>
    <row r="126" spans="2:9" ht="15">
      <c r="B126" s="128">
        <v>6</v>
      </c>
      <c r="C126" s="129" t="str">
        <f>TEXT(DATE(YEAR(B$64),MONTH(B$64),DAY(B$64)),"mmm yyyy")&amp;" - "&amp;TEXT(DATE(YEAR(B$75),MONTH(B$75),DAY(B$75)),"mmm yyyy")</f>
        <v>Aug 2022 - Jul 2023</v>
      </c>
      <c r="D126" s="130" t="e">
        <f>AVERAGEIF(Table4[Year],B126,Table4[Avg Daily Flow])</f>
        <v>#DIV/0!</v>
      </c>
      <c r="E126" s="140">
        <f>SUMIF(Table4[Year],B126,Table4[Monthly Flow])</f>
        <v>0</v>
      </c>
      <c r="F126" s="141">
        <f>SUMPRODUCT(Table4[Monthly Flow],--(Table4[Year]=B126),--(Table4[Monthly Flow]&lt;&gt;""),--(Table4[Total Energy Cost]&lt;&gt;""))</f>
        <v>0</v>
      </c>
      <c r="G126" s="142">
        <f>SUMPRODUCT(Table4[Total Energy Cost],--(Table4[Year]=B126),--(Table4[Monthly Flow]&lt;&gt;""),--(Table4[Total Energy Cost]&lt;&gt;""))</f>
        <v>0</v>
      </c>
      <c r="H126" s="142" t="e">
        <f t="shared" si="13"/>
        <v>#DIV/0!</v>
      </c>
      <c r="I126" s="134">
        <f>SUMPRODUCT(--(Table4[Monthly Flow]&lt;&gt;""),--(Table4[Total Energy Cost]&lt;&gt;""),--(Table4[Year]=B126))</f>
        <v>0</v>
      </c>
    </row>
    <row r="127" spans="2:9" ht="15">
      <c r="B127" s="128">
        <v>7</v>
      </c>
      <c r="C127" s="129" t="str">
        <f>TEXT(DATE(YEAR(B$76),MONTH(B$76),DAY(B$76)),"mmm yyyy")&amp;" - "&amp;TEXT(DATE(YEAR(B$87),MONTH(B$87),DAY(B$87)),"mmm yyyy")</f>
        <v>Aug 2023 - Jul 2024</v>
      </c>
      <c r="D127" s="130" t="e">
        <f>AVERAGEIF(Table4[Year],B127,Table4[Avg Daily Flow])</f>
        <v>#DIV/0!</v>
      </c>
      <c r="E127" s="140">
        <f>SUMIF(Table4[Year],B127,Table4[Monthly Flow])</f>
        <v>0</v>
      </c>
      <c r="F127" s="141">
        <f>SUMPRODUCT(Table4[Monthly Flow],--(Table4[Year]=B127),--(Table4[Monthly Flow]&lt;&gt;""),--(Table4[Total Energy Cost]&lt;&gt;""))</f>
        <v>0</v>
      </c>
      <c r="G127" s="142">
        <f>SUMPRODUCT(Table4[Total Energy Cost],--(Table4[Year]=B127),--(Table4[Monthly Flow]&lt;&gt;""),--(Table4[Total Energy Cost]&lt;&gt;""))</f>
        <v>0</v>
      </c>
      <c r="H127" s="142" t="e">
        <f t="shared" si="13"/>
        <v>#DIV/0!</v>
      </c>
      <c r="I127" s="134">
        <f>SUMPRODUCT(--(Table4[Monthly Flow]&lt;&gt;""),--(Table4[Total Energy Cost]&lt;&gt;""),--(Table4[Year]=B127))</f>
        <v>0</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Aug 2017 - Jul 2018</v>
      </c>
      <c r="D135" s="130" t="str">
        <f>_xlfn.IFERROR(AVERAGEIF(Table4[Year],B135,Table4[BOD removed]),"")</f>
        <v/>
      </c>
      <c r="E135" s="138">
        <f>SUMIF(Table4[Year],B135,Table4[Total BOD removed])</f>
        <v>0</v>
      </c>
      <c r="F135" s="133">
        <f>SUMPRODUCT(Table4[Total BOD removed],--(Table4[Total BOD removed]&lt;&gt;""),--(Table4[Total Energy Cost]&lt;&gt;""),--(Table4[Year]=B135))</f>
        <v>0</v>
      </c>
      <c r="G135" s="142">
        <f>SUMPRODUCT(Table4[Total Energy Cost],--(Table4[Year]=B135),--(Table4[Total BOD removed]&lt;&gt;""),--(Table4[Total Energy Cost]&lt;&gt;""))</f>
        <v>0</v>
      </c>
      <c r="H135" s="143" t="e">
        <f>G135/F135</f>
        <v>#DIV/0!</v>
      </c>
      <c r="I135" s="136">
        <f>SUMPRODUCT(--(Table4[Total BOD removed]&lt;&gt;""),--(Table4[Total Energy Cost]&lt;&gt;""),--(Table4[Year]=B135))</f>
        <v>0</v>
      </c>
    </row>
    <row r="136" spans="2:9" ht="15">
      <c r="B136" s="128">
        <v>2</v>
      </c>
      <c r="C136" s="129" t="str">
        <f>TEXT(DATE(YEAR(B$16),MONTH(B$16),DAY(B$16)),"mmm yyyy")&amp;" - "&amp;TEXT(DATE(YEAR(B$27),MONTH(B$27),DAY(B$27)),"mmm yyyy")</f>
        <v>Aug 2018 - Jul 2019</v>
      </c>
      <c r="D136" s="130" t="str">
        <f>_xlfn.IFERROR(AVERAGEIF(Table4[Year],B136,Table4[BOD removed]),"")</f>
        <v/>
      </c>
      <c r="E136" s="138">
        <f>SUMIF(Table4[Year],B136,Table4[Total BOD removed])</f>
        <v>0</v>
      </c>
      <c r="F136" s="133">
        <f>SUMPRODUCT(Table4[Total BOD removed],--(Table4[Total BOD removed]&lt;&gt;""),--(Table4[Total Energy Cost]&lt;&gt;""),--(Table4[Year]=B136))</f>
        <v>0</v>
      </c>
      <c r="G136" s="142">
        <f>SUMPRODUCT(Table4[Total Energy Cost],--(Table4[Year]=B136),--(Table4[Total BOD removed]&lt;&gt;""),--(Table4[Total Energy Cost]&lt;&gt;""))</f>
        <v>0</v>
      </c>
      <c r="H136" s="143" t="e">
        <f aca="true" t="shared" si="14" ref="H136:H141">G136/F136</f>
        <v>#DIV/0!</v>
      </c>
      <c r="I136" s="136">
        <f>SUMPRODUCT(--(Table4[Total BOD removed]&lt;&gt;""),--(Table4[Total Energy Cost]&lt;&gt;""),--(Table4[Year]=B136))</f>
        <v>0</v>
      </c>
    </row>
    <row r="137" spans="2:9" ht="15">
      <c r="B137" s="128">
        <v>3</v>
      </c>
      <c r="C137" s="129" t="str">
        <f>TEXT(DATE(YEAR(B$28),MONTH(B$28),DAY(B$28)),"mmm yyyy")&amp;" - "&amp;TEXT(DATE(YEAR(B$39),MONTH(B$39),DAY(B$39)),"mmm yyyy")</f>
        <v>Aug 2019 - Jul 2020</v>
      </c>
      <c r="D137" s="130" t="str">
        <f>_xlfn.IFERROR(AVERAGEIF(Table4[Year],B137,Table4[BOD removed]),"")</f>
        <v/>
      </c>
      <c r="E137" s="138">
        <f>SUMIF(Table4[Year],B137,Table4[Total BOD removed])</f>
        <v>0</v>
      </c>
      <c r="F137" s="133">
        <f>SUMPRODUCT(Table4[Total BOD removed],--(Table4[Total BOD removed]&lt;&gt;""),--(Table4[Total Energy Cost]&lt;&gt;""),--(Table4[Year]=B137))</f>
        <v>0</v>
      </c>
      <c r="G137" s="142">
        <f>SUMPRODUCT(Table4[Total Energy Cost],--(Table4[Year]=B137),--(Table4[Total BOD removed]&lt;&gt;""),--(Table4[Total Energy Cost]&lt;&gt;""))</f>
        <v>0</v>
      </c>
      <c r="H137" s="143" t="e">
        <f t="shared" si="14"/>
        <v>#DIV/0!</v>
      </c>
      <c r="I137" s="136">
        <f>SUMPRODUCT(--(Table4[Total BOD removed]&lt;&gt;""),--(Table4[Total Energy Cost]&lt;&gt;""),--(Table4[Year]=B137))</f>
        <v>0</v>
      </c>
    </row>
    <row r="138" spans="2:9" ht="15">
      <c r="B138" s="128">
        <v>4</v>
      </c>
      <c r="C138" s="129" t="str">
        <f>TEXT(DATE(YEAR(B$40),MONTH(B$40),DAY(B$40)),"mmm yyyy")&amp;" - "&amp;TEXT(DATE(YEAR(B$51),MONTH(B$51),DAY(B$51)),"mmm yyyy")</f>
        <v>Aug 2020 - Jul 2021</v>
      </c>
      <c r="D138" s="130" t="str">
        <f>_xlfn.IFERROR(AVERAGEIF(Table4[Year],B138,Table4[BOD removed]),"")</f>
        <v/>
      </c>
      <c r="E138" s="138">
        <f>SUMIF(Table4[Year],B138,Table4[Total BOD removed])</f>
        <v>0</v>
      </c>
      <c r="F138" s="133">
        <f>SUMPRODUCT(Table4[Total BOD removed],--(Table4[Total BOD removed]&lt;&gt;""),--(Table4[Total Energy Cost]&lt;&gt;""),--(Table4[Year]=B138))</f>
        <v>0</v>
      </c>
      <c r="G138" s="142">
        <f>SUMPRODUCT(Table4[Total Energy Cost],--(Table4[Year]=B138),--(Table4[Total BOD removed]&lt;&gt;""),--(Table4[Total Energy Cost]&lt;&gt;""))</f>
        <v>0</v>
      </c>
      <c r="H138" s="139" t="e">
        <f t="shared" si="14"/>
        <v>#DIV/0!</v>
      </c>
      <c r="I138" s="136">
        <f>SUMPRODUCT(--(Table4[Total BOD removed]&lt;&gt;""),--(Table4[Total Energy Cost]&lt;&gt;""),--(Table4[Year]=B138))</f>
        <v>0</v>
      </c>
    </row>
    <row r="139" spans="2:9" ht="15">
      <c r="B139" s="128">
        <v>5</v>
      </c>
      <c r="C139" s="129" t="str">
        <f>TEXT(DATE(YEAR(B$52),MONTH(B$52),DAY(B$52)),"mmm yyyy")&amp;" - "&amp;TEXT(DATE(YEAR(B$63),MONTH(B$63),DAY(B$63)),"mmm yyyy")</f>
        <v>Aug 2021 - Jul 2022</v>
      </c>
      <c r="D139" s="130" t="str">
        <f>_xlfn.IFERROR(AVERAGEIF(Table4[Year],B139,Table4[BOD removed]),"")</f>
        <v/>
      </c>
      <c r="E139" s="138">
        <f>SUMIF(Table4[Year],B139,Table4[Total BOD removed])</f>
        <v>0</v>
      </c>
      <c r="F139" s="133">
        <f>SUMPRODUCT(Table4[Total BOD removed],--(Table4[Total BOD removed]&lt;&gt;""),--(Table4[Total Energy Cost]&lt;&gt;""),--(Table4[Year]=B139))</f>
        <v>0</v>
      </c>
      <c r="G139" s="142">
        <f>SUMPRODUCT(Table4[Total Energy Cost],--(Table4[Year]=B139),--(Table4[Total BOD removed]&lt;&gt;""),--(Table4[Total Energy Cost]&lt;&gt;""))</f>
        <v>0</v>
      </c>
      <c r="H139" s="139" t="e">
        <f t="shared" si="14"/>
        <v>#DIV/0!</v>
      </c>
      <c r="I139" s="136">
        <f>SUMPRODUCT(--(Table4[Total BOD removed]&lt;&gt;""),--(Table4[Total Energy Cost]&lt;&gt;""),--(Table4[Year]=B139))</f>
        <v>0</v>
      </c>
    </row>
    <row r="140" spans="2:9" ht="15">
      <c r="B140" s="128">
        <v>6</v>
      </c>
      <c r="C140" s="129" t="str">
        <f>TEXT(DATE(YEAR(B$64),MONTH(B$64),DAY(B$64)),"mmm yyyy")&amp;" - "&amp;TEXT(DATE(YEAR(B$75),MONTH(B$75),DAY(B$75)),"mmm yyyy")</f>
        <v>Aug 2022 - Jul 2023</v>
      </c>
      <c r="D140" s="130" t="str">
        <f>_xlfn.IFERROR(AVERAGEIF(Table4[Year],B140,Table4[BOD removed]),"")</f>
        <v/>
      </c>
      <c r="E140" s="138">
        <f>SUMIF(Table4[Year],B140,Table4[Total BOD removed])</f>
        <v>0</v>
      </c>
      <c r="F140" s="133">
        <f>SUMPRODUCT(Table4[Total BOD removed],--(Table4[Total BOD removed]&lt;&gt;""),--(Table4[Total Energy Cost]&lt;&gt;""),--(Table4[Year]=B140))</f>
        <v>0</v>
      </c>
      <c r="G140" s="142">
        <f>SUMPRODUCT(Table4[Total Energy Cost],--(Table4[Year]=B140),--(Table4[Total BOD removed]&lt;&gt;""),--(Table4[Total Energy Cost]&lt;&gt;""))</f>
        <v>0</v>
      </c>
      <c r="H140" s="139" t="e">
        <f t="shared" si="14"/>
        <v>#DIV/0!</v>
      </c>
      <c r="I140" s="136">
        <f>SUMPRODUCT(--(Table4[Total BOD removed]&lt;&gt;""),--(Table4[Total Energy Cost]&lt;&gt;""),--(Table4[Year]=B140))</f>
        <v>0</v>
      </c>
    </row>
    <row r="141" spans="2:9" ht="15" thickBot="1">
      <c r="B141" s="144">
        <v>7</v>
      </c>
      <c r="C141" s="145" t="str">
        <f>TEXT(DATE(YEAR(B$76),MONTH(B$76),DAY(B$76)),"mmm yyyy")&amp;" - "&amp;TEXT(DATE(YEAR(B$87),MONTH(B$87),DAY(B$87)),"mmm yyyy")</f>
        <v>Aug 2023 - Jul 2024</v>
      </c>
      <c r="D141" s="311" t="str">
        <f>_xlfn.IFERROR(AVERAGEIF(Table4[Year],B141,Table4[BOD removed]),"")</f>
        <v/>
      </c>
      <c r="E141" s="146">
        <f>SUMIF(Table4[Year],B141,Table4[Total BOD removed])</f>
        <v>0</v>
      </c>
      <c r="F141" s="312">
        <f>SUMPRODUCT(Table4[Total BOD removed],--(Table4[Total BOD removed]&lt;&gt;""),--(Table4[Total Energy Cost]&lt;&gt;""),--(Table4[Year]=B141))</f>
        <v>0</v>
      </c>
      <c r="G141" s="313">
        <f>SUMPRODUCT(Table4[Total Energy Cost],--(Table4[Year]=B141),--(Table4[Total BOD removed]&lt;&gt;""),--(Table4[Total Energy Cost]&lt;&gt;""))</f>
        <v>0</v>
      </c>
      <c r="H141" s="147" t="e">
        <f t="shared" si="14"/>
        <v>#DIV/0!</v>
      </c>
      <c r="I141" s="301">
        <f>SUMPRODUCT(--(Table4[Total BOD removed]&lt;&gt;""),--(Table4[Total Energy Cost]&lt;&gt;""),--(Table4[Year]=B141))</f>
        <v>0</v>
      </c>
    </row>
    <row r="142" ht="15">
      <c r="B142" s="56"/>
    </row>
    <row r="143" ht="15" thickBot="1">
      <c r="B143" s="56"/>
    </row>
    <row r="144" spans="2:23" ht="15">
      <c r="B144" s="167"/>
      <c r="C144" s="191" t="s">
        <v>131</v>
      </c>
      <c r="D144" s="168"/>
      <c r="E144" s="168"/>
      <c r="F144" s="168"/>
      <c r="G144" s="168"/>
      <c r="H144" s="168"/>
      <c r="I144" s="168"/>
      <c r="J144" s="168"/>
      <c r="K144" s="168"/>
      <c r="L144" s="390"/>
      <c r="M144" s="390"/>
      <c r="N144" s="390"/>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3" t="s">
        <v>191</v>
      </c>
      <c r="M145" s="293" t="s">
        <v>192</v>
      </c>
      <c r="N145" s="293"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91" t="s">
        <v>193</v>
      </c>
      <c r="M146" s="391" t="s">
        <v>193</v>
      </c>
      <c r="N146" s="391"/>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Aug 2017 - Jul 2019</v>
      </c>
      <c r="D147" s="176" t="e">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#DIV/0!</v>
      </c>
      <c r="E147" s="193">
        <f>(SUMPRODUCT(--(Table4[Year]=1),--(Table4[Total Energy Usage]&lt;&gt;""),Table4[Monthly Flow])+SUMPRODUCT(--(Table4[Year]=2),--(Table4[Total Energy Usage]&lt;&gt;""),Table4[Monthly Flow]))</f>
        <v>0</v>
      </c>
      <c r="F147" s="194" t="e">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#DIV/0!</v>
      </c>
      <c r="G147" s="195" t="e">
        <f>SUM(G98:G99)/SUM(F98:F99)</f>
        <v>#DIV/0!</v>
      </c>
      <c r="H147" s="185" t="e">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#DIV/0!</v>
      </c>
      <c r="I147" s="196"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47" s="185" t="e">
        <f>(SUMPRODUCT(--(Table4[Year]=1),--(Table4[Monthly Flow]&lt;&gt;""),Table4[Total Energy Cost])+SUMPRODUCT(--(Table4[Year]=2),--(Table4[Monthly Flow]&lt;&gt;""),Table4[Total Energy Cost]))/(SUMPRODUCT(--(Table4[Year]=1),--(Table4[Total Energy Cost]&lt;&gt;""),Table4[Monthly Flow])+SUMPRODUCT(--(Table4[Year]=2),--(Table4[Total Energy Cost]&lt;&gt;""),Table4[Monthly Flow]))</f>
        <v>#DIV/0!</v>
      </c>
      <c r="K147" s="125" t="s">
        <v>134</v>
      </c>
      <c r="L147" s="293" t="e">
        <f>(SUMPRODUCT(--(Table4[Year]=1),Table4[Total Electric Demand (Actual)])+SUMPRODUCT(--(Table4[Year]=2),Table4[Total Electric Demand (Actual)]))/(SUMPRODUCT(--(Table4[Year]=1),--(Table4[Total Electric Demand (Actual)]&lt;&gt;""))+SUMPRODUCT(--(Table4[Year]=2),--(Table4[Total Electric Demand (Actual)]&lt;&gt;"")))</f>
        <v>#DIV/0!</v>
      </c>
      <c r="M147" s="293" t="e">
        <f>(SUMPRODUCT(--(Table4[Year]=1),Table4[Total Electric Demand (Billed)])+SUMPRODUCT(--(Table4[Year]=2),Table4[Total Electric Demand (Billed)]))/(SUMPRODUCT(--(Table4[Year]=1),--(Table4[Total Electric Demand (Billed)]&lt;&gt;""))+SUMPRODUCT(--(Table4[Year]=2),--(Table4[Total Electric Demand (Billed)]&lt;&gt;"")))</f>
        <v>#DIV/0!</v>
      </c>
      <c r="N147" s="293" t="e">
        <f>IF(N$145=M$145,M147,L147)</f>
        <v>#DIV/0!</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3"/>
      <c r="M148" s="293"/>
      <c r="N148" s="293"/>
      <c r="O148" s="197"/>
      <c r="P148" s="165"/>
      <c r="Q148" s="110"/>
      <c r="W148" s="110"/>
      <c r="Z148" s="117"/>
    </row>
    <row r="149" spans="2:26" ht="15">
      <c r="B149" s="177">
        <v>3</v>
      </c>
      <c r="C149" s="171" t="str">
        <f>TEXT(DATE(YEAR(B$28),MONTH(B$28),DAY(B$28)),"mmm yyyy")&amp;" - "&amp;TEXT(DATE(YEAR(B$39),MONTH(B$39),DAY(B$39)),"mmm yyyy")</f>
        <v>Aug 2019 - Jul 2020</v>
      </c>
      <c r="D149" s="198" t="e">
        <f>SUMPRODUCT(--(Table4[Total Energy Usage]&lt;&gt;""),--(Table4[Year]=B149),Table4[Avg Daily Flow])/SUMPRODUCT(--(Table4[Total Energy Usage]&lt;&gt;""),--(Table4[Avg Daily Flow]&lt;&gt;""),--(Table4[Year]=B149))</f>
        <v>#DIV/0!</v>
      </c>
      <c r="E149" s="199">
        <f>SUMPRODUCT(--(Table4[Year]=B149),--(Table4[Total Energy Usage]&lt;&gt;""),Table4[Monthly Flow])</f>
        <v>0</v>
      </c>
      <c r="F149" s="200" t="str">
        <f>_xlfn.IFERROR(SUMPRODUCT(--(Table4[Year]=B149),--(Table4[Monthly Flow]&lt;&gt;""),Table4[Total Energy Usage])/SUMPRODUCT(--(Table4[Year]=B149),--(Table4[Monthly Flow]&lt;&gt;""),--(Table4[Total Energy Usage]&lt;&gt;"")),"")</f>
        <v/>
      </c>
      <c r="G149" s="178" t="e">
        <f>H100</f>
        <v>#DIV/0!</v>
      </c>
      <c r="H149" s="188" t="e">
        <f>SUMPRODUCT(--(Table4[Avg Daily Flow]&lt;&gt;""),--(Table4[Year]=B149),Table4[Total Energy Cost])/SUMPRODUCT(--(Table4[Avg Daily Flow]&lt;&gt;""),--(Table4[Year]=B149),--(Table4[Total Energy Cost]&lt;&gt;""))</f>
        <v>#DIV/0!</v>
      </c>
      <c r="I149" s="201" t="e">
        <f>SUMPRODUCT(--(Table4[Year]=B149),--(Table4[Electric kWh usage]&lt;&gt;""),Table4[Total electric cost])/SUMPRODUCT(--(Table4[Year]=B149),--(Table4[Total electric cost]&lt;&gt;""),Table4[Electric kWh usage])</f>
        <v>#DIV/0!</v>
      </c>
      <c r="J149" s="188" t="e">
        <f>(SUMPRODUCT(--(Table4[Year]=B149),--(Table4[Monthly Flow]&lt;&gt;""),Table4[Total Energy Cost]))/(SUMPRODUCT(--(Table4[Year]=B149),--(Table4[Total Energy Cost]&lt;&gt;""),Table4[Monthly Flow]))</f>
        <v>#DIV/0!</v>
      </c>
      <c r="K149" s="133" t="e">
        <f>(G$147-G149)*E149</f>
        <v>#DIV/0!</v>
      </c>
      <c r="L149" s="392" t="e">
        <f>SUMPRODUCT(--(Table4[Year]=B149),Table4[Total Electric Demand (Actual)])/SUMPRODUCT(--(Table4[Year]=B149),--(Table4[Total Electric Demand (Actual)]&lt;&gt;""))</f>
        <v>#DIV/0!</v>
      </c>
      <c r="M149" s="392" t="e">
        <f>SUMPRODUCT(--(Table4[Year]=B149),Table4[Total Electric Demand (Billed)])/SUMPRODUCT(--(Table4[Year]=B149),--(Table4[Total Electric Demand (Billed)]&lt;&gt;""))</f>
        <v>#DIV/0!</v>
      </c>
      <c r="N149" s="293" t="e">
        <f aca="true" t="shared" si="15" ref="N149:N154">IF(N$145=M$145,M149,L149)</f>
        <v>#DIV/0!</v>
      </c>
      <c r="O149" s="202" t="e">
        <f>(J$147-J149)*E149</f>
        <v>#DIV/0!</v>
      </c>
      <c r="P149" s="190"/>
      <c r="Q149" s="108"/>
      <c r="S149"/>
      <c r="V149"/>
      <c r="W149" s="108"/>
      <c r="Z149" s="114"/>
    </row>
    <row r="150" spans="2:26" ht="15">
      <c r="B150" s="177">
        <v>4</v>
      </c>
      <c r="C150" s="171" t="str">
        <f>TEXT(DATE(YEAR(B$40),MONTH(B$40),DAY(B$40)),"mmm yyyy")&amp;" - "&amp;TEXT(DATE(YEAR(B$51),MONTH(B$51),DAY(B$51)),"mmm yyyy")</f>
        <v>Aug 2020 - Jul 2021</v>
      </c>
      <c r="D150" s="198" t="e">
        <f>SUMPRODUCT(--(Table4[Total Energy Usage]&lt;&gt;""),--(Table4[Year]=B150),Table4[Avg Daily Flow])/SUMPRODUCT(--(Table4[Total Energy Usage]&lt;&gt;""),--(Table4[Avg Daily Flow]&lt;&gt;""),--(Table4[Year]=B150))</f>
        <v>#DIV/0!</v>
      </c>
      <c r="E150" s="199">
        <f>SUMPRODUCT(--(Table4[Year]=B150),--(Table4[Total Energy Usage]&lt;&gt;""),Table4[Monthly Flow])</f>
        <v>0</v>
      </c>
      <c r="F150" s="200" t="str">
        <f>_xlfn.IFERROR(SUMPRODUCT(--(Table4[Year]=B150),--(Table4[Monthly Flow]&lt;&gt;""),Table4[Total Energy Usage])/SUMPRODUCT(--(Table4[Year]=B150),--(Table4[Monthly Flow]&lt;&gt;""),--(Table4[Total Energy Usage]&lt;&gt;"")),"")</f>
        <v/>
      </c>
      <c r="G150" s="178" t="e">
        <f>H101</f>
        <v>#DIV/0!</v>
      </c>
      <c r="H150" s="188" t="e">
        <f>SUMPRODUCT(--(Table4[Avg Daily Flow]&lt;&gt;""),--(Table4[Year]=B150),Table4[Total Energy Cost])/SUMPRODUCT(--(Table4[Avg Daily Flow]&lt;&gt;""),--(Table4[Year]=B150),--(Table4[Total Energy Cost]&lt;&gt;""))</f>
        <v>#DIV/0!</v>
      </c>
      <c r="I150" s="201" t="e">
        <f>SUMPRODUCT(--(Table4[Year]=B150),--(Table4[Electric kWh usage]&lt;&gt;""),Table4[Total electric cost])/SUMPRODUCT(--(Table4[Year]=B150),--(Table4[Total electric cost]&lt;&gt;""),Table4[Electric kWh usage])</f>
        <v>#DIV/0!</v>
      </c>
      <c r="J150" s="188" t="e">
        <f>(SUMPRODUCT(--(Table4[Year]=B150),--(Table4[Monthly Flow]&lt;&gt;""),Table4[Total Energy Cost]))/(SUMPRODUCT(--(Table4[Year]=B150),--(Table4[Total Energy Cost]&lt;&gt;""),Table4[Monthly Flow]))</f>
        <v>#DIV/0!</v>
      </c>
      <c r="K150" s="133" t="e">
        <f>(G$147-G150)*E150</f>
        <v>#DIV/0!</v>
      </c>
      <c r="L150" s="392" t="e">
        <f>SUMPRODUCT(--(Table4[Year]=B150),Table4[Total Electric Demand (Actual)])/SUMPRODUCT(--(Table4[Year]=B150),--(Table4[Total Electric Demand (Actual)]&lt;&gt;""))</f>
        <v>#DIV/0!</v>
      </c>
      <c r="M150" s="392" t="e">
        <f>SUMPRODUCT(--(Table4[Year]=B150),Table4[Total Electric Demand (Billed)])/SUMPRODUCT(--(Table4[Year]=B150),--(Table4[Total Electric Demand (Billed)]&lt;&gt;""))</f>
        <v>#DIV/0!</v>
      </c>
      <c r="N150" s="293" t="e">
        <f t="shared" si="15"/>
        <v>#DIV/0!</v>
      </c>
      <c r="O150" s="202" t="e">
        <f>(J$147-J150)*E150</f>
        <v>#DIV/0!</v>
      </c>
      <c r="P150" s="57"/>
      <c r="Q150" s="108"/>
      <c r="S150"/>
      <c r="V150"/>
      <c r="W150" s="108"/>
      <c r="Z150" s="114"/>
    </row>
    <row r="151" spans="2:26" ht="15">
      <c r="B151" s="177">
        <v>5</v>
      </c>
      <c r="C151" s="171" t="str">
        <f>TEXT(DATE(YEAR(B$52),MONTH(B$52),DAY(B$52)),"mmm yyyy")&amp;" - "&amp;TEXT(DATE(YEAR(B$63),MONTH(B$63),DAY(B$63)),"mmm yyyy")</f>
        <v>Aug 2021 - Jul 2022</v>
      </c>
      <c r="D151" s="198" t="e">
        <f>SUMPRODUCT(--(Table4[Total Energy Usage]&lt;&gt;""),--(Table4[Year]=B151),Table4[Avg Daily Flow])/SUMPRODUCT(--(Table4[Total Energy Usage]&lt;&gt;""),--(Table4[Avg Daily Flow]&lt;&gt;""),--(Table4[Year]=B151))</f>
        <v>#DIV/0!</v>
      </c>
      <c r="E151" s="199">
        <f>(SUMPRODUCT(--(Table4[Year]=B151),--(Table4[Total Energy Usage]&lt;&gt;""),Table4[Monthly Flow]))</f>
        <v>0</v>
      </c>
      <c r="F151" s="200" t="str">
        <f>_xlfn.IFERROR(SUMPRODUCT(--(Table4[Year]=B151),--(Table4[Monthly Flow]&lt;&gt;""),Table4[Total Energy Usage])/SUMPRODUCT(--(Table4[Year]=B151),--(Table4[Monthly Flow]&lt;&gt;""),--(Table4[Total Energy Usage]&lt;&gt;"")),"")</f>
        <v/>
      </c>
      <c r="G151" s="178" t="e">
        <f>H102</f>
        <v>#DIV/0!</v>
      </c>
      <c r="H151" s="188" t="e">
        <f>SUMPRODUCT(--(Table4[Avg Daily Flow]&lt;&gt;""),--(Table4[Year]=B151),Table4[Total Energy Cost])/SUMPRODUCT(--(Table4[Avg Daily Flow]&lt;&gt;""),--(Table4[Year]=B151),--(Table4[Total Energy Cost]&lt;&gt;""))</f>
        <v>#DIV/0!</v>
      </c>
      <c r="I151" s="201" t="e">
        <f>SUMPRODUCT(--(Table4[Year]=B151),--(Table4[Electric kWh usage]&lt;&gt;""),Table4[Total electric cost])/SUMPRODUCT(--(Table4[Year]=B151),--(Table4[Total electric cost]&lt;&gt;""),Table4[Electric kWh usage])</f>
        <v>#DIV/0!</v>
      </c>
      <c r="J151" s="188" t="e">
        <f>(SUMPRODUCT(--(Table4[Year]=B151),--(Table4[Monthly Flow]&lt;&gt;""),Table4[Total Energy Cost]))/(SUMPRODUCT(--(Table4[Year]=B151),--(Table4[Total Energy Cost]&lt;&gt;""),Table4[Monthly Flow]))</f>
        <v>#DIV/0!</v>
      </c>
      <c r="K151" s="133" t="e">
        <f>(G$147-G151)*E151</f>
        <v>#DIV/0!</v>
      </c>
      <c r="L151" s="392" t="e">
        <f>SUMPRODUCT(--(Table4[Year]=B151),Table4[Total Electric Demand (Actual)])/SUMPRODUCT(--(Table4[Year]=B151),--(Table4[Total Electric Demand (Actual)]&lt;&gt;""))</f>
        <v>#DIV/0!</v>
      </c>
      <c r="M151" s="392" t="e">
        <f>SUMPRODUCT(--(Table4[Year]=B151),Table4[Total Electric Demand (Billed)])/SUMPRODUCT(--(Table4[Year]=B151),--(Table4[Total Electric Demand (Billed)]&lt;&gt;""))</f>
        <v>#DIV/0!</v>
      </c>
      <c r="N151" s="293" t="e">
        <f t="shared" si="15"/>
        <v>#DIV/0!</v>
      </c>
      <c r="O151" s="202" t="e">
        <f>(J$147-J151)*E151</f>
        <v>#DIV/0!</v>
      </c>
      <c r="P151" s="57"/>
      <c r="Q151" s="108"/>
      <c r="S151"/>
      <c r="V151"/>
      <c r="W151" s="108"/>
      <c r="Z151" s="114"/>
    </row>
    <row r="152" spans="2:26" ht="15">
      <c r="B152" s="177">
        <v>6</v>
      </c>
      <c r="C152" s="171" t="str">
        <f>TEXT(DATE(YEAR(B$64),MONTH(B$64),DAY(B$64)),"mmm yyyy")&amp;" - "&amp;TEXT(DATE(YEAR(B$75),MONTH(B$75),DAY(B$75)),"mmm yyyy")</f>
        <v>Aug 2022 - Jul 2023</v>
      </c>
      <c r="D152" s="198" t="e">
        <f>SUMPRODUCT(--(Table4[Total Energy Usage]&lt;&gt;""),--(Table4[Year]=B152),Table4[Avg Daily Flow])/SUMPRODUCT(--(Table4[Total Energy Usage]&lt;&gt;""),--(Table4[Avg Daily Flow]&lt;&gt;""),--(Table4[Year]=B152))</f>
        <v>#DIV/0!</v>
      </c>
      <c r="E152" s="199">
        <f>(SUMPRODUCT(--(Table4[Year]=B152),--(Table4[Total Energy Usage]&lt;&gt;""),Table4[Monthly Flow]))</f>
        <v>0</v>
      </c>
      <c r="F152" s="200" t="str">
        <f>_xlfn.IFERROR(SUMPRODUCT(--(Table4[Year]=B152),--(Table4[Monthly Flow]&lt;&gt;""),Table4[Total Energy Usage])/SUMPRODUCT(--(Table4[Year]=B152),--(Table4[Monthly Flow]&lt;&gt;""),--(Table4[Total Energy Usage]&lt;&gt;"")),"")</f>
        <v/>
      </c>
      <c r="G152" s="178" t="e">
        <f>H103</f>
        <v>#DIV/0!</v>
      </c>
      <c r="H152" s="188" t="e">
        <f>SUMPRODUCT(--(Table4[Avg Daily Flow]&lt;&gt;""),--(Table4[Year]=B152),Table4[Total Energy Cost])/SUMPRODUCT(--(Table4[Avg Daily Flow]&lt;&gt;""),--(Table4[Year]=B152),--(Table4[Total Energy Cost]&lt;&gt;""))</f>
        <v>#DIV/0!</v>
      </c>
      <c r="I152" s="201" t="e">
        <f>SUMPRODUCT(--(Table4[Year]=B152),--(Table4[Electric kWh usage]&lt;&gt;""),Table4[Total electric cost])/SUMPRODUCT(--(Table4[Year]=B152),--(Table4[Total electric cost]&lt;&gt;""),Table4[Electric kWh usage])</f>
        <v>#DIV/0!</v>
      </c>
      <c r="J152" s="188" t="e">
        <f>(SUMPRODUCT(--(Table4[Year]=B152),--(Table4[Monthly Flow]&lt;&gt;""),Table4[Total Energy Cost]))/(SUMPRODUCT(--(Table4[Year]=B152),--(Table4[Total Energy Cost]&lt;&gt;""),Table4[Monthly Flow]))</f>
        <v>#DIV/0!</v>
      </c>
      <c r="K152" s="133" t="e">
        <f>(G$147-G152)*E152</f>
        <v>#DIV/0!</v>
      </c>
      <c r="L152" s="392" t="e">
        <f>SUMPRODUCT(--(Table4[Year]=B152),Table4[Total Electric Demand (Actual)])/SUMPRODUCT(--(Table4[Year]=B152),--(Table4[Total Electric Demand (Actual)]&lt;&gt;""))</f>
        <v>#DIV/0!</v>
      </c>
      <c r="M152" s="392" t="e">
        <f>SUMPRODUCT(--(Table4[Year]=B152),Table4[Total Electric Demand (Billed)])/SUMPRODUCT(--(Table4[Year]=B152),--(Table4[Total Electric Demand (Billed)]&lt;&gt;""))</f>
        <v>#DIV/0!</v>
      </c>
      <c r="N152" s="293" t="e">
        <f t="shared" si="15"/>
        <v>#DIV/0!</v>
      </c>
      <c r="O152" s="202" t="e">
        <f>(J$147-J152)*E152</f>
        <v>#DIV/0!</v>
      </c>
      <c r="P152" s="57"/>
      <c r="Q152" s="108"/>
      <c r="S152"/>
      <c r="V152"/>
      <c r="W152" s="108"/>
      <c r="Z152" s="114"/>
    </row>
    <row r="153" spans="2:26" ht="15">
      <c r="B153" s="177">
        <v>7</v>
      </c>
      <c r="C153" s="171" t="str">
        <f>TEXT(DATE(YEAR(B$76),MONTH(B$76),DAY(B$76)),"mmm yyyy")&amp;" - "&amp;TEXT(DATE(YEAR(B$87),MONTH(B$87),DAY(B$87)),"mmm yyyy")</f>
        <v>Aug 2023 - Jul 2024</v>
      </c>
      <c r="D153" s="198" t="e">
        <f>SUMPRODUCT(--(Table4[Total Energy Usage]&lt;&gt;""),--(Table4[Year]=B153),Table4[Avg Daily Flow])/SUMPRODUCT(--(Table4[Total Energy Usage]&lt;&gt;""),--(Table4[Avg Daily Flow]&lt;&gt;""),--(Table4[Year]=B153))</f>
        <v>#DIV/0!</v>
      </c>
      <c r="E153" s="199">
        <f>(SUMPRODUCT(--(Table4[Year]=B153),--(Table4[Total Energy Usage]&lt;&gt;""),Table4[Monthly Flow]))</f>
        <v>0</v>
      </c>
      <c r="F153" s="200" t="str">
        <f>_xlfn.IFERROR(SUMPRODUCT(--(Table4[Year]=B153),--(Table4[Monthly Flow]&lt;&gt;""),Table4[Total Energy Usage])/SUMPRODUCT(--(Table4[Year]=B153),--(Table4[Monthly Flow]&lt;&gt;""),--(Table4[Total Energy Usage]&lt;&gt;"")),"")</f>
        <v/>
      </c>
      <c r="G153" s="178" t="e">
        <f>H104</f>
        <v>#DIV/0!</v>
      </c>
      <c r="H153" s="188" t="e">
        <f>SUMPRODUCT(--(Table4[Avg Daily Flow]&lt;&gt;""),--(Table4[Year]=B153),Table4[Total Energy Cost])/SUMPRODUCT(--(Table4[Avg Daily Flow]&lt;&gt;""),--(Table4[Year]=B153),--(Table4[Total Energy Cost]&lt;&gt;""))</f>
        <v>#DIV/0!</v>
      </c>
      <c r="I153" s="201" t="e">
        <f>SUMPRODUCT(--(Table4[Year]=B153),--(Table4[Electric kWh usage]&lt;&gt;""),Table4[Total electric cost])/SUMPRODUCT(--(Table4[Year]=B153),--(Table4[Total electric cost]&lt;&gt;""),Table4[Electric kWh usage])</f>
        <v>#DIV/0!</v>
      </c>
      <c r="J153" s="188" t="e">
        <f>(SUMPRODUCT(--(Table4[Year]=B153),--(Table4[Monthly Flow]&lt;&gt;""),Table4[Total Energy Cost]))/(SUMPRODUCT(--(Table4[Year]=B153),--(Table4[Total Energy Cost]&lt;&gt;""),Table4[Monthly Flow]))</f>
        <v>#DIV/0!</v>
      </c>
      <c r="K153" s="133" t="e">
        <f>(G$147-G153)*E153</f>
        <v>#DIV/0!</v>
      </c>
      <c r="L153" s="392" t="e">
        <f>SUMPRODUCT(--(Table4[Year]=B153),Table4[Total Electric Demand (Actual)])/SUMPRODUCT(--(Table4[Year]=B153),--(Table4[Total Electric Demand (Actual)]&lt;&gt;""))</f>
        <v>#DIV/0!</v>
      </c>
      <c r="M153" s="392" t="e">
        <f>SUMPRODUCT(--(Table4[Year]=B153),Table4[Total Electric Demand (Billed)])/SUMPRODUCT(--(Table4[Year]=B153),--(Table4[Total Electric Demand (Billed)]&lt;&gt;""))</f>
        <v>#DIV/0!</v>
      </c>
      <c r="N153" s="293" t="e">
        <f t="shared" si="15"/>
        <v>#DIV/0!</v>
      </c>
      <c r="O153" s="202" t="e">
        <f>(J$147-J153)*E153</f>
        <v>#DIV/0!</v>
      </c>
      <c r="P153" s="57"/>
      <c r="Q153" s="108"/>
      <c r="S153"/>
      <c r="V153"/>
      <c r="W153" s="108"/>
      <c r="Z153" s="114"/>
    </row>
    <row r="154" spans="2:23" ht="15">
      <c r="B154" s="170"/>
      <c r="C154" s="171" t="s">
        <v>141</v>
      </c>
      <c r="D154" s="204" t="e">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#DIV/0!</v>
      </c>
      <c r="E154" s="171"/>
      <c r="F154" s="204" t="e">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#DIV/0!</v>
      </c>
      <c r="G154" s="205" t="e">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#DIV/0!</v>
      </c>
      <c r="H154" s="204" t="e">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#DIV/0!</v>
      </c>
      <c r="I154"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#DIV/0!</v>
      </c>
      <c r="J154" s="204" t="e">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#DIV/0!</v>
      </c>
      <c r="K154" s="171"/>
      <c r="L154" s="205" t="e">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#DIV/0!</v>
      </c>
      <c r="M154" s="408" t="e">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#DIV/0!</v>
      </c>
      <c r="N154" s="410" t="e">
        <f t="shared" si="15"/>
        <v>#DIV/0!</v>
      </c>
      <c r="O154" s="172"/>
      <c r="S154"/>
      <c r="T154" s="108"/>
      <c r="V154"/>
      <c r="W154" s="114"/>
    </row>
    <row r="155" spans="2:23" ht="15" thickBot="1">
      <c r="B155" s="203"/>
      <c r="C155" s="105" t="s">
        <v>140</v>
      </c>
      <c r="D155" s="105"/>
      <c r="E155" s="105"/>
      <c r="F155" s="105"/>
      <c r="G155" s="105"/>
      <c r="H155" s="105"/>
      <c r="I155" s="105"/>
      <c r="J155" s="208"/>
      <c r="K155" s="105"/>
      <c r="L155" s="393"/>
      <c r="M155" s="393"/>
      <c r="N155" s="393"/>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147</v>
      </c>
      <c r="D157" s="168"/>
      <c r="E157" s="168"/>
      <c r="F157" s="168"/>
      <c r="G157" s="168"/>
      <c r="H157" s="168"/>
      <c r="I157" s="168"/>
      <c r="J157" s="168"/>
      <c r="K157" s="168"/>
      <c r="L157" s="390"/>
      <c r="M157" s="390"/>
      <c r="N157" s="169"/>
    </row>
    <row r="158" spans="1:26" s="52" customFormat="1" ht="69" customHeight="1">
      <c r="A158" s="53"/>
      <c r="B158" s="173" t="s">
        <v>59</v>
      </c>
      <c r="C158" s="174" t="s">
        <v>104</v>
      </c>
      <c r="D158" s="174" t="s">
        <v>148</v>
      </c>
      <c r="E158" s="174" t="s">
        <v>149</v>
      </c>
      <c r="F158" s="174" t="s">
        <v>151</v>
      </c>
      <c r="G158" s="174" t="s">
        <v>53</v>
      </c>
      <c r="H158" s="174" t="s">
        <v>152</v>
      </c>
      <c r="I158" s="174" t="s">
        <v>132</v>
      </c>
      <c r="J158" s="174" t="s">
        <v>71</v>
      </c>
      <c r="K158" s="125" t="s">
        <v>135</v>
      </c>
      <c r="L158" s="293"/>
      <c r="M158" s="293"/>
      <c r="N158" s="175" t="s">
        <v>136</v>
      </c>
      <c r="P158" s="110"/>
      <c r="W158" s="110"/>
      <c r="Z158" s="117"/>
    </row>
    <row r="159" spans="1:25" s="52" customFormat="1" ht="15">
      <c r="A159" s="53"/>
      <c r="B159" s="173" t="s">
        <v>107</v>
      </c>
      <c r="C159" s="174"/>
      <c r="D159" s="174" t="s">
        <v>49</v>
      </c>
      <c r="E159" s="174" t="s">
        <v>150</v>
      </c>
      <c r="F159" s="174" t="s">
        <v>65</v>
      </c>
      <c r="G159" s="174" t="s">
        <v>53</v>
      </c>
      <c r="H159" s="174"/>
      <c r="I159" s="174"/>
      <c r="J159" s="174"/>
      <c r="K159" s="54" t="s">
        <v>65</v>
      </c>
      <c r="L159" s="391"/>
      <c r="M159" s="391"/>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Aug 2017 - Jul 2019</v>
      </c>
      <c r="D160" s="291" t="e">
        <f>(SUMPRODUCT(--(Table4[Year]=1),--(Table4[Total Energy Usage]&lt;&gt;""),Table4[BOD removed])+SUMPRODUCT(--(Table4[Year]=2),--(Table4[Total Energy Usage]&lt;&gt;""),Table4[BOD removed]))/(SUMPRODUCT(--(Table4[Year]=1),--(Table4[Total Energy Usage]&lt;&gt;""),--(Table4[BOD removed]&lt;&gt;""))+SUMPRODUCT(--(Table4[Year]=2),--(Table4[Total Energy Usage]&lt;&gt;""),--(Table4[BOD removed]&lt;&gt;"")))</f>
        <v>#DIV/0!</v>
      </c>
      <c r="E160" s="293">
        <f>(SUMPRODUCT(--(Table4[Year]=1),--(Table4[Total Energy Usage]&lt;&gt;""),Table4[Total BOD removed])+SUMPRODUCT(--(Table4[Year]=2),--(Table4[Total Energy Usage]&lt;&gt;""),Table4[Total BOD removed]))</f>
        <v>0</v>
      </c>
      <c r="F160" s="293" t="e">
        <f>(SUMPRODUCT(--(Table4[Year]=1),--(Table4[BOD removed]&lt;&gt;""),Table4[Total Energy Usage])+SUMPRODUCT(--(Table4[Year]=2),--(Table4[BOD removed]&lt;&gt;""),Table4[Total Energy Usage]))/(SUMPRODUCT(--(Table4[Year]=1),--(Table4[Total Energy Usage]&lt;&gt;""),--(Table4[BOD removed]&lt;&gt;""))+SUMPRODUCT(--(Table4[Year]=2),--(Table4[Total Energy Usage]&lt;&gt;""),--(Table4[BOD removed]&lt;&gt;"")))</f>
        <v>#DIV/0!</v>
      </c>
      <c r="G160" s="294" t="e">
        <f>SUM(G110:G111)/SUM(F110:F111)</f>
        <v>#DIV/0!</v>
      </c>
      <c r="H160" s="296" t="e">
        <f>(SUMPRODUCT(--(Table4[Year]=1),--(Table4[BOD removed]&lt;&gt;""),Table4[Total Energy Cost])+SUMPRODUCT(--(Table4[Year]=2),--(Table4[BOD removed]&lt;&gt;""),Table4[Total Energy Cost]))/(SUMPRODUCT(--(Table4[Year]=1),--(Table4[Total Energy Cost]&lt;&gt;""),--(Table4[BOD removed]&lt;&gt;""))+SUMPRODUCT(--(Table4[Year]=2),--(Table4[Total Energy Cost]&lt;&gt;""),--(Table4[BOD removed]&lt;&gt;"")))</f>
        <v>#DIV/0!</v>
      </c>
      <c r="I160" s="297"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60" s="296"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K160" s="125" t="s">
        <v>134</v>
      </c>
      <c r="L160" s="293"/>
      <c r="M160" s="293"/>
      <c r="N160" s="298" t="s">
        <v>134</v>
      </c>
      <c r="O160" s="165"/>
      <c r="P160" s="110"/>
      <c r="Q160" s="154"/>
      <c r="V160" s="110"/>
      <c r="Y160" s="117"/>
    </row>
    <row r="161" spans="1:25" s="52" customFormat="1" ht="15">
      <c r="A161" s="53"/>
      <c r="B161" s="173"/>
      <c r="C161" s="174"/>
      <c r="D161" s="291"/>
      <c r="E161" s="293"/>
      <c r="F161" s="293"/>
      <c r="G161" s="125"/>
      <c r="H161" s="125"/>
      <c r="I161" s="297"/>
      <c r="J161" s="296"/>
      <c r="K161" s="125"/>
      <c r="L161" s="293"/>
      <c r="M161" s="293"/>
      <c r="N161" s="298"/>
      <c r="O161" s="165"/>
      <c r="P161" s="110"/>
      <c r="V161" s="110"/>
      <c r="Y161" s="117"/>
    </row>
    <row r="162" spans="2:25" ht="15">
      <c r="B162" s="177">
        <v>3</v>
      </c>
      <c r="C162" s="171" t="str">
        <f>TEXT(DATE(YEAR(B$28),MONTH(B$28),DAY(B$28)),"mmm yyyy")&amp;" - "&amp;TEXT(DATE(YEAR(B$39),MONTH(B$39),DAY(B$39)),"mmm yyyy")</f>
        <v>Aug 2019 - Jul 2020</v>
      </c>
      <c r="D162" s="206" t="e">
        <f>SUMPRODUCT(--(Table4[Total Energy Usage]&lt;&gt;""),--(Table4[Year]=B162),Table4[BOD removed])/SUMPRODUCT(--(Table4[Total Energy Usage]&lt;&gt;""),--(Table4[BOD removed]&lt;&gt;""),--(Table4[Year]=B162))</f>
        <v>#DIV/0!</v>
      </c>
      <c r="E162" s="295">
        <f>SUMPRODUCT(--(Table4[Year]=B162),--(Table4[Total Energy Usage]&lt;&gt;""),Table4[Total BOD removed])</f>
        <v>0</v>
      </c>
      <c r="F162" s="295" t="str">
        <f>_xlfn.IFERROR(SUMPRODUCT(--(Table4[Year]=B162),--(Table4[BOD removed]&lt;&gt;""),Table4[Total Energy Usage])/SUMPRODUCT(--(Table4[Year]=B162),--(Table4[BOD removed]&lt;&gt;""),--(Table4[Total Energy Usage]&lt;&gt;"")),"")</f>
        <v/>
      </c>
      <c r="G162" s="206" t="e">
        <f>H112</f>
        <v>#DIV/0!</v>
      </c>
      <c r="H162" s="143" t="e">
        <f>SUMPRODUCT(--(Table4[BOD removed]&lt;&gt;""),--(Table4[Year]=B162),Table4[Total Energy Cost])/SUMPRODUCT(--(Table4[BOD removed]&lt;&gt;""),--(Table4[Year]=B162),--(Table4[Total Energy Cost]&lt;&gt;""))</f>
        <v>#DIV/0!</v>
      </c>
      <c r="I162" s="207" t="e">
        <f>SUMPRODUCT(--(Table4[Year]=B162),--(Table4[Electric kWh usage]&lt;&gt;""),Table4[Total electric cost])/SUMPRODUCT(--(Table4[Year]=B162),--(Table4[Total electric cost]&lt;&gt;""),Table4[Electric kWh usage])</f>
        <v>#DIV/0!</v>
      </c>
      <c r="J162" s="143" t="e">
        <f>(SUMPRODUCT(--(Table4[Year]=B162),--(Table4[Total BOD removed]&lt;&gt;""),Table4[Total Energy Cost]))/(SUMPRODUCT(--(Table4[Year]=B162),--(Table4[Total Energy Cost]&lt;&gt;""),Table4[Total BOD removed]))</f>
        <v>#DIV/0!</v>
      </c>
      <c r="K162" s="133" t="e">
        <f>(G$160-G162)*E162</f>
        <v>#DIV/0!</v>
      </c>
      <c r="L162" s="392"/>
      <c r="M162" s="392"/>
      <c r="N162" s="299" t="e">
        <f>(J$160-J162)*E162</f>
        <v>#DIV/0!</v>
      </c>
      <c r="O162" s="190"/>
      <c r="P162" s="108"/>
      <c r="S162"/>
      <c r="V162" s="108"/>
      <c r="Y162" s="114"/>
    </row>
    <row r="163" spans="2:25" ht="15">
      <c r="B163" s="177">
        <v>4</v>
      </c>
      <c r="C163" s="171" t="str">
        <f>TEXT(DATE(YEAR(B$40),MONTH(B$40),DAY(B$40)),"mmm yyyy")&amp;" - "&amp;TEXT(DATE(YEAR(B$51),MONTH(B$51),DAY(B$51)),"mmm yyyy")</f>
        <v>Aug 2020 - Jul 2021</v>
      </c>
      <c r="D163" s="206" t="e">
        <f>SUMPRODUCT(--(Table4[Total Energy Usage]&lt;&gt;""),--(Table4[Year]=B163),Table4[BOD removed])/SUMPRODUCT(--(Table4[Total Energy Usage]&lt;&gt;""),--(Table4[BOD removed]&lt;&gt;""),--(Table4[Year]=B163))</f>
        <v>#DIV/0!</v>
      </c>
      <c r="E163" s="295">
        <f>SUMPRODUCT(--(Table4[Year]=B163),--(Table4[Total Energy Usage]&lt;&gt;""),Table4[Total BOD removed])</f>
        <v>0</v>
      </c>
      <c r="F163" s="295" t="str">
        <f>_xlfn.IFERROR(SUMPRODUCT(--(Table4[Year]=B163),--(Table4[BOD removed]&lt;&gt;""),Table4[Total Energy Usage])/SUMPRODUCT(--(Table4[Year]=B163),--(Table4[BOD removed]&lt;&gt;""),--(Table4[Total Energy Usage]&lt;&gt;"")),"")</f>
        <v/>
      </c>
      <c r="G163" s="206" t="e">
        <f>H113</f>
        <v>#DIV/0!</v>
      </c>
      <c r="H163" s="143" t="e">
        <f>SUMPRODUCT(--(Table4[BOD removed]&lt;&gt;""),--(Table4[Year]=B163),Table4[Total Energy Cost])/SUMPRODUCT(--(Table4[BOD removed]&lt;&gt;""),--(Table4[Year]=B163),--(Table4[Total Energy Cost]&lt;&gt;""))</f>
        <v>#DIV/0!</v>
      </c>
      <c r="I163" s="207" t="e">
        <f>SUMPRODUCT(--(Table4[Year]=B163),--(Table4[Electric kWh usage]&lt;&gt;""),Table4[Total electric cost])/SUMPRODUCT(--(Table4[Year]=B163),--(Table4[Total electric cost]&lt;&gt;""),Table4[Electric kWh usage])</f>
        <v>#DIV/0!</v>
      </c>
      <c r="J163" s="143" t="e">
        <f>(SUMPRODUCT(--(Table4[Year]=B163),--(Table4[Total BOD removed]&lt;&gt;""),Table4[Total Energy Cost]))/(SUMPRODUCT(--(Table4[Year]=B163),--(Table4[Total Energy Cost]&lt;&gt;""),Table4[Total BOD removed]))</f>
        <v>#DIV/0!</v>
      </c>
      <c r="K163" s="133" t="e">
        <f>(G$160-G163)*E163</f>
        <v>#DIV/0!</v>
      </c>
      <c r="L163" s="392"/>
      <c r="M163" s="392"/>
      <c r="N163" s="299" t="e">
        <f>(J$160-J163)*E163</f>
        <v>#DIV/0!</v>
      </c>
      <c r="O163" s="57"/>
      <c r="P163" s="108"/>
      <c r="S163"/>
      <c r="V163" s="108"/>
      <c r="Y163" s="114"/>
    </row>
    <row r="164" spans="2:25" ht="15">
      <c r="B164" s="177">
        <v>5</v>
      </c>
      <c r="C164" s="171" t="str">
        <f>TEXT(DATE(YEAR(B$52),MONTH(B$52),DAY(B$52)),"mmm yyyy")&amp;" - "&amp;TEXT(DATE(YEAR(B$63),MONTH(B$63),DAY(B$63)),"mmm yyyy")</f>
        <v>Aug 2021 - Jul 2022</v>
      </c>
      <c r="D164" s="206" t="e">
        <f>SUMPRODUCT(--(Table4[Total Energy Usage]&lt;&gt;""),--(Table4[Year]=B164),Table4[BOD removed])/SUMPRODUCT(--(Table4[Total Energy Usage]&lt;&gt;""),--(Table4[BOD removed]&lt;&gt;""),--(Table4[Year]=B164))</f>
        <v>#DIV/0!</v>
      </c>
      <c r="E164" s="295">
        <f>SUMPRODUCT(--(Table4[Year]=B164),--(Table4[Total Energy Usage]&lt;&gt;""),Table4[Total BOD removed])</f>
        <v>0</v>
      </c>
      <c r="F164" s="295" t="str">
        <f>_xlfn.IFERROR(SUMPRODUCT(--(Table4[Year]=B164),--(Table4[BOD removed]&lt;&gt;""),Table4[Total Energy Usage])/SUMPRODUCT(--(Table4[Year]=B164),--(Table4[BOD removed]&lt;&gt;""),--(Table4[Total Energy Usage]&lt;&gt;"")),"")</f>
        <v/>
      </c>
      <c r="G164" s="206" t="e">
        <f>H114</f>
        <v>#DIV/0!</v>
      </c>
      <c r="H164" s="143" t="e">
        <f>SUMPRODUCT(--(Table4[BOD removed]&lt;&gt;""),--(Table4[Year]=B164),Table4[Total Energy Cost])/SUMPRODUCT(--(Table4[BOD removed]&lt;&gt;""),--(Table4[Year]=B164),--(Table4[Total Energy Cost]&lt;&gt;""))</f>
        <v>#DIV/0!</v>
      </c>
      <c r="I164" s="207" t="e">
        <f>SUMPRODUCT(--(Table4[Year]=B164),--(Table4[Electric kWh usage]&lt;&gt;""),Table4[Total electric cost])/SUMPRODUCT(--(Table4[Year]=B164),--(Table4[Total electric cost]&lt;&gt;""),Table4[Electric kWh usage])</f>
        <v>#DIV/0!</v>
      </c>
      <c r="J164" s="143" t="e">
        <f>(SUMPRODUCT(--(Table4[Year]=B164),--(Table4[Total BOD removed]&lt;&gt;""),Table4[Total Energy Cost]))/(SUMPRODUCT(--(Table4[Year]=B164),--(Table4[Total Energy Cost]&lt;&gt;""),Table4[Total BOD removed]))</f>
        <v>#DIV/0!</v>
      </c>
      <c r="K164" s="133" t="e">
        <f>(G$160-G164)*E164</f>
        <v>#DIV/0!</v>
      </c>
      <c r="L164" s="392"/>
      <c r="M164" s="392"/>
      <c r="N164" s="299" t="e">
        <f>(J$160-J164)*E164</f>
        <v>#DIV/0!</v>
      </c>
      <c r="O164" s="57"/>
      <c r="P164" s="108"/>
      <c r="S164"/>
      <c r="V164" s="108"/>
      <c r="Y164" s="114"/>
    </row>
    <row r="165" spans="2:25" ht="15">
      <c r="B165" s="177">
        <v>6</v>
      </c>
      <c r="C165" s="171" t="str">
        <f>TEXT(DATE(YEAR(B$64),MONTH(B$64),DAY(B$64)),"mmm yyyy")&amp;" - "&amp;TEXT(DATE(YEAR(B$75),MONTH(B$75),DAY(B$75)),"mmm yyyy")</f>
        <v>Aug 2022 - Jul 2023</v>
      </c>
      <c r="D165" s="206" t="e">
        <f>SUMPRODUCT(--(Table4[Total Energy Usage]&lt;&gt;""),--(Table4[Year]=B165),Table4[BOD removed])/SUMPRODUCT(--(Table4[Total Energy Usage]&lt;&gt;""),--(Table4[BOD removed]&lt;&gt;""),--(Table4[Year]=B165))</f>
        <v>#DIV/0!</v>
      </c>
      <c r="E165" s="295">
        <f>SUMPRODUCT(--(Table4[Year]=B165),--(Table4[Total Energy Usage]&lt;&gt;""),Table4[Total BOD removed])</f>
        <v>0</v>
      </c>
      <c r="F165" s="295" t="str">
        <f>_xlfn.IFERROR(SUMPRODUCT(--(Table4[Year]=B165),--(Table4[BOD removed]&lt;&gt;""),Table4[Total Energy Usage])/SUMPRODUCT(--(Table4[Year]=B165),--(Table4[BOD removed]&lt;&gt;""),--(Table4[Total Energy Usage]&lt;&gt;"")),"")</f>
        <v/>
      </c>
      <c r="G165" s="206" t="e">
        <f>H115</f>
        <v>#DIV/0!</v>
      </c>
      <c r="H165" s="143" t="e">
        <f>SUMPRODUCT(--(Table4[BOD removed]&lt;&gt;""),--(Table4[Year]=B165),Table4[Total Energy Cost])/SUMPRODUCT(--(Table4[BOD removed]&lt;&gt;""),--(Table4[Year]=B165),--(Table4[Total Energy Cost]&lt;&gt;""))</f>
        <v>#DIV/0!</v>
      </c>
      <c r="I165" s="207" t="e">
        <f>SUMPRODUCT(--(Table4[Year]=B165),--(Table4[Electric kWh usage]&lt;&gt;""),Table4[Total electric cost])/SUMPRODUCT(--(Table4[Year]=B165),--(Table4[Total electric cost]&lt;&gt;""),Table4[Electric kWh usage])</f>
        <v>#DIV/0!</v>
      </c>
      <c r="J165" s="143" t="e">
        <f>(SUMPRODUCT(--(Table4[Year]=B165),--(Table4[Total BOD removed]&lt;&gt;""),Table4[Total Energy Cost]))/(SUMPRODUCT(--(Table4[Year]=B165),--(Table4[Total Energy Cost]&lt;&gt;""),Table4[Total BOD removed]))</f>
        <v>#DIV/0!</v>
      </c>
      <c r="K165" s="133" t="e">
        <f>(G$160-G165)*E165</f>
        <v>#DIV/0!</v>
      </c>
      <c r="L165" s="392"/>
      <c r="M165" s="392"/>
      <c r="N165" s="299" t="e">
        <f>(J$160-J165)*E165</f>
        <v>#DIV/0!</v>
      </c>
      <c r="O165" s="57"/>
      <c r="P165" s="108"/>
      <c r="S165"/>
      <c r="V165" s="108"/>
      <c r="Y165" s="114"/>
    </row>
    <row r="166" spans="2:25" ht="15">
      <c r="B166" s="177">
        <v>7</v>
      </c>
      <c r="C166" s="171" t="str">
        <f>TEXT(DATE(YEAR(B$76),MONTH(B$76),DAY(B$76)),"mmm yyyy")&amp;" - "&amp;TEXT(DATE(YEAR(B$87),MONTH(B$87),DAY(B$87)),"mmm yyyy")</f>
        <v>Aug 2023 - Jul 2024</v>
      </c>
      <c r="D166" s="206" t="e">
        <f>SUMPRODUCT(--(Table4[Total Energy Usage]&lt;&gt;""),--(Table4[Year]=B166),Table4[BOD removed])/SUMPRODUCT(--(Table4[Total Energy Usage]&lt;&gt;""),--(Table4[BOD removed]&lt;&gt;""),--(Table4[Year]=B166))</f>
        <v>#DIV/0!</v>
      </c>
      <c r="E166" s="295">
        <f>SUMPRODUCT(--(Table4[Year]=B166),--(Table4[Total Energy Usage]&lt;&gt;""),Table4[Total BOD removed])</f>
        <v>0</v>
      </c>
      <c r="F166" s="295" t="str">
        <f>_xlfn.IFERROR(SUMPRODUCT(--(Table4[Year]=B166),--(Table4[BOD removed]&lt;&gt;""),Table4[Total Energy Usage])/SUMPRODUCT(--(Table4[Year]=B166),--(Table4[BOD removed]&lt;&gt;""),--(Table4[Total Energy Usage]&lt;&gt;"")),"")</f>
        <v/>
      </c>
      <c r="G166" s="206" t="e">
        <f>H116</f>
        <v>#DIV/0!</v>
      </c>
      <c r="H166" s="143" t="e">
        <f>SUMPRODUCT(--(Table4[BOD removed]&lt;&gt;""),--(Table4[Year]=B166),Table4[Total Energy Cost])/SUMPRODUCT(--(Table4[BOD removed]&lt;&gt;""),--(Table4[Year]=B166),--(Table4[Total Energy Cost]&lt;&gt;""))</f>
        <v>#DIV/0!</v>
      </c>
      <c r="I166" s="207" t="e">
        <f>SUMPRODUCT(--(Table4[Year]=B166),--(Table4[Electric kWh usage]&lt;&gt;""),Table4[Total electric cost])/SUMPRODUCT(--(Table4[Year]=B166),--(Table4[Total electric cost]&lt;&gt;""),Table4[Electric kWh usage])</f>
        <v>#DIV/0!</v>
      </c>
      <c r="J166" s="143" t="e">
        <f>(SUMPRODUCT(--(Table4[Year]=B166),--(Table4[Total BOD removed]&lt;&gt;""),Table4[Total Energy Cost]))/(SUMPRODUCT(--(Table4[Year]=B166),--(Table4[Total Energy Cost]&lt;&gt;""),Table4[Total BOD removed]))</f>
        <v>#DIV/0!</v>
      </c>
      <c r="K166" s="133" t="e">
        <f>(G$160-G166)*E166</f>
        <v>#DIV/0!</v>
      </c>
      <c r="L166" s="392"/>
      <c r="M166" s="392"/>
      <c r="N166" s="299" t="e">
        <f>(J$160-J166)*E166</f>
        <v>#DIV/0!</v>
      </c>
      <c r="O166" s="57"/>
      <c r="P166" s="108"/>
      <c r="S166"/>
      <c r="V166" s="108"/>
      <c r="Y166" s="114"/>
    </row>
    <row r="167" spans="2:14" ht="15">
      <c r="B167" s="170"/>
      <c r="C167" s="171" t="s">
        <v>141</v>
      </c>
      <c r="D167" s="204" t="e">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#DIV/0!</v>
      </c>
      <c r="E167" s="132"/>
      <c r="F167" s="204" t="e">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#DIV/0!</v>
      </c>
      <c r="G167" s="204" t="e">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#DIV/0!</v>
      </c>
      <c r="H167" s="204" t="e">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#DIV/0!</v>
      </c>
      <c r="I167"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#DIV/0!</v>
      </c>
      <c r="J167" s="204" t="e">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#DIV/0!</v>
      </c>
      <c r="K167" s="132"/>
      <c r="L167" s="295"/>
      <c r="M167" s="295"/>
      <c r="N167" s="136"/>
    </row>
    <row r="168" spans="2:14" ht="15" thickBot="1">
      <c r="B168" s="203"/>
      <c r="C168" s="105" t="s">
        <v>140</v>
      </c>
      <c r="D168" s="292"/>
      <c r="E168" s="292"/>
      <c r="F168" s="292"/>
      <c r="G168" s="292"/>
      <c r="H168" s="292"/>
      <c r="I168" s="292"/>
      <c r="J168" s="300"/>
      <c r="K168" s="292"/>
      <c r="L168" s="394"/>
      <c r="M168" s="394"/>
      <c r="N168" s="301"/>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95"/>
      <c r="M173" s="395"/>
      <c r="R173" s="108"/>
      <c r="S173"/>
      <c r="U173" s="114"/>
      <c r="V173"/>
    </row>
    <row r="174" spans="2:22" ht="15">
      <c r="B174" s="173"/>
      <c r="C174" s="174"/>
      <c r="D174" s="174"/>
      <c r="E174" s="174"/>
      <c r="F174" s="174"/>
      <c r="G174" s="172"/>
      <c r="I174" s="108"/>
      <c r="K174" s="108"/>
      <c r="L174" s="395"/>
      <c r="M174" s="395"/>
      <c r="R174" s="108"/>
      <c r="S174"/>
      <c r="U174" s="114"/>
      <c r="V174"/>
    </row>
    <row r="175" spans="2:22" ht="15">
      <c r="B175" s="173" t="s">
        <v>123</v>
      </c>
      <c r="C175" s="174" t="str">
        <f>TEXT(DATE(YEAR(B$4),MONTH(B$4),DAY(B$4)),"mmm yyyy")&amp;" - "&amp;TEXT(DATE(YEAR(B$15),MONTH(B$15),DAY(B$15)),"mmm yyyy")</f>
        <v>Aug 2017 - Jul 2018</v>
      </c>
      <c r="D175" s="178" t="e">
        <f aca="true" t="shared" si="16" ref="D175:D181">H98</f>
        <v>#DIV/0!</v>
      </c>
      <c r="E175" s="171">
        <v>0</v>
      </c>
      <c r="F175" s="179" t="e">
        <f aca="true" t="shared" si="17" ref="F175:F181">H121</f>
        <v>#DIV/0!</v>
      </c>
      <c r="G175" s="172">
        <v>0</v>
      </c>
      <c r="I175" s="108"/>
      <c r="K175" s="108"/>
      <c r="L175" s="395"/>
      <c r="M175" s="395"/>
      <c r="R175" s="108"/>
      <c r="S175"/>
      <c r="U175" s="114"/>
      <c r="V175"/>
    </row>
    <row r="176" spans="2:22" ht="15">
      <c r="B176" s="173" t="s">
        <v>124</v>
      </c>
      <c r="C176" s="174" t="str">
        <f>TEXT(DATE(YEAR(B$16),MONTH(B$16),DAY(B$16)),"mmm yyyy")&amp;" - "&amp;TEXT(DATE(YEAR(B$27),MONTH(B$27),DAY(B$27)),"mmm yyyy")</f>
        <v>Aug 2018 - Jul 2019</v>
      </c>
      <c r="D176" s="178" t="e">
        <f t="shared" si="16"/>
        <v>#DIV/0!</v>
      </c>
      <c r="E176" s="171">
        <v>0</v>
      </c>
      <c r="F176" s="179" t="e">
        <f t="shared" si="17"/>
        <v>#DIV/0!</v>
      </c>
      <c r="G176" s="172">
        <v>0</v>
      </c>
      <c r="I176" s="108"/>
      <c r="K176" s="108"/>
      <c r="L176" s="395"/>
      <c r="M176" s="395"/>
      <c r="R176" s="108"/>
      <c r="S176"/>
      <c r="U176" s="114"/>
      <c r="V176"/>
    </row>
    <row r="177" spans="2:22" ht="15">
      <c r="B177" s="177">
        <v>3</v>
      </c>
      <c r="C177" s="171" t="str">
        <f>TEXT(DATE(YEAR(B$28),MONTH(B$28),DAY(B$28)),"mmm yyyy")&amp;" - "&amp;TEXT(DATE(YEAR(B$39),MONTH(B$39),DAY(B$39)),"mmm yyyy")</f>
        <v>Aug 2019 - Jul 2020</v>
      </c>
      <c r="D177" s="178" t="e">
        <f t="shared" si="16"/>
        <v>#DIV/0!</v>
      </c>
      <c r="E177" s="171">
        <v>0</v>
      </c>
      <c r="F177" s="179" t="e">
        <f t="shared" si="17"/>
        <v>#DIV/0!</v>
      </c>
      <c r="G177" s="172">
        <v>0</v>
      </c>
      <c r="I177" s="108"/>
      <c r="K177" s="108"/>
      <c r="L177" s="395"/>
      <c r="M177" s="395"/>
      <c r="R177" s="108"/>
      <c r="S177"/>
      <c r="U177" s="114"/>
      <c r="V177"/>
    </row>
    <row r="178" spans="2:22" ht="15">
      <c r="B178" s="177">
        <v>4</v>
      </c>
      <c r="C178" s="171" t="str">
        <f>TEXT(DATE(YEAR(B$40),MONTH(B$40),DAY(B$40)),"mmm yyyy")&amp;" - "&amp;TEXT(DATE(YEAR(B$51),MONTH(B$51),DAY(B$51)),"mmm yyyy")</f>
        <v>Aug 2020 - Jul 2021</v>
      </c>
      <c r="D178" s="178" t="e">
        <f t="shared" si="16"/>
        <v>#DIV/0!</v>
      </c>
      <c r="E178" s="171">
        <v>0</v>
      </c>
      <c r="F178" s="179" t="e">
        <f t="shared" si="17"/>
        <v>#DIV/0!</v>
      </c>
      <c r="G178" s="172">
        <v>0</v>
      </c>
      <c r="I178" s="108"/>
      <c r="K178" s="108"/>
      <c r="L178" s="395"/>
      <c r="M178" s="395"/>
      <c r="R178" s="108"/>
      <c r="S178"/>
      <c r="U178" s="114"/>
      <c r="V178"/>
    </row>
    <row r="179" spans="2:22" ht="15">
      <c r="B179" s="177">
        <v>5</v>
      </c>
      <c r="C179" s="171" t="str">
        <f>TEXT(DATE(YEAR(B$52),MONTH(B$52),DAY(B$52)),"mmm yyyy")&amp;" - "&amp;TEXT(DATE(YEAR(B$63),MONTH(B$63),DAY(B$63)),"mmm yyyy")</f>
        <v>Aug 2021 - Jul 2022</v>
      </c>
      <c r="D179" s="178" t="e">
        <f t="shared" si="16"/>
        <v>#DIV/0!</v>
      </c>
      <c r="E179" s="171">
        <v>0</v>
      </c>
      <c r="F179" s="179" t="e">
        <f t="shared" si="17"/>
        <v>#DIV/0!</v>
      </c>
      <c r="G179" s="172">
        <v>0</v>
      </c>
      <c r="I179" s="108"/>
      <c r="K179" s="108"/>
      <c r="L179" s="395"/>
      <c r="M179" s="395"/>
      <c r="R179" s="108"/>
      <c r="S179"/>
      <c r="U179" s="114"/>
      <c r="V179"/>
    </row>
    <row r="180" spans="2:22" ht="15">
      <c r="B180" s="177">
        <v>6</v>
      </c>
      <c r="C180" s="171" t="str">
        <f>TEXT(DATE(YEAR(B$64),MONTH(B$64),DAY(B$64)),"mmm yyyy")&amp;" - "&amp;TEXT(DATE(YEAR(B$75),MONTH(B$75),DAY(B$75)),"mmm yyyy")</f>
        <v>Aug 2022 - Jul 2023</v>
      </c>
      <c r="D180" s="178" t="e">
        <f t="shared" si="16"/>
        <v>#DIV/0!</v>
      </c>
      <c r="E180" s="171">
        <v>0</v>
      </c>
      <c r="F180" s="179" t="e">
        <f t="shared" si="17"/>
        <v>#DIV/0!</v>
      </c>
      <c r="G180" s="172">
        <v>0</v>
      </c>
      <c r="I180" s="108"/>
      <c r="K180" s="108"/>
      <c r="L180" s="395"/>
      <c r="M180" s="395"/>
      <c r="R180" s="108"/>
      <c r="S180"/>
      <c r="U180" s="114"/>
      <c r="V180"/>
    </row>
    <row r="181" spans="2:22" ht="15" thickBot="1">
      <c r="B181" s="180">
        <v>7</v>
      </c>
      <c r="C181" s="105" t="str">
        <f>TEXT(DATE(YEAR(B$76),MONTH(B$76),DAY(B$76)),"mmm yyyy")&amp;" - "&amp;TEXT(DATE(YEAR(B$87),MONTH(B$87),DAY(B$87)),"mmm yyyy")</f>
        <v>Aug 2023 - Jul 2024</v>
      </c>
      <c r="D181" s="181" t="e">
        <f t="shared" si="16"/>
        <v>#DIV/0!</v>
      </c>
      <c r="E181" s="105">
        <v>0</v>
      </c>
      <c r="F181" s="182" t="e">
        <f t="shared" si="17"/>
        <v>#DIV/0!</v>
      </c>
      <c r="G181" s="183">
        <v>0</v>
      </c>
      <c r="I181" s="108"/>
      <c r="K181" s="108"/>
      <c r="L181" s="395"/>
      <c r="M181" s="395"/>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Aug 2017 - Jul 2018</v>
      </c>
      <c r="D186" s="176" t="e">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#DIV/0!</v>
      </c>
      <c r="E186" s="171">
        <v>0</v>
      </c>
      <c r="F186" s="185"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G186" s="172">
        <v>0</v>
      </c>
    </row>
    <row r="187" spans="2:8" ht="15">
      <c r="B187" s="173" t="s">
        <v>124</v>
      </c>
      <c r="C187" s="174" t="str">
        <f>TEXT(DATE(YEAR(B$16),MONTH(B$16),DAY(B$16)),"mmm yyyy")&amp;" - "&amp;TEXT(DATE(YEAR(B$27),MONTH(B$27),DAY(B$27)),"mmm yyyy")</f>
        <v>Aug 2018 - Jul 2019</v>
      </c>
      <c r="D187" s="186" t="e">
        <f aca="true" t="shared" si="18" ref="D187:D192">H111</f>
        <v>#DIV/0!</v>
      </c>
      <c r="E187" s="171">
        <v>0</v>
      </c>
      <c r="F187" s="188" t="e">
        <f aca="true" t="shared" si="19" ref="F187:F192">H136</f>
        <v>#DIV/0!</v>
      </c>
      <c r="G187" s="172">
        <v>0</v>
      </c>
      <c r="H187" s="325" t="s">
        <v>173</v>
      </c>
    </row>
    <row r="188" spans="2:8" ht="15">
      <c r="B188" s="177">
        <v>3</v>
      </c>
      <c r="C188" s="171" t="str">
        <f>TEXT(DATE(YEAR(B$28),MONTH(B$28),DAY(B$28)),"mmm yyyy")&amp;" - "&amp;TEXT(DATE(YEAR(B$39),MONTH(B$39),DAY(B$39)),"mmm yyyy")</f>
        <v>Aug 2019 - Jul 2020</v>
      </c>
      <c r="D188" s="186" t="e">
        <f t="shared" si="18"/>
        <v>#DIV/0!</v>
      </c>
      <c r="E188" s="171">
        <v>0</v>
      </c>
      <c r="F188" s="188" t="e">
        <f t="shared" si="19"/>
        <v>#DIV/0!</v>
      </c>
      <c r="G188" s="172">
        <v>0</v>
      </c>
      <c r="H188" s="326" t="str">
        <f ca="1">IF(AND(TODAY()&gt;=B28,TODAY()&lt;=B39),CHAR(10)&amp;"(to date)","")</f>
        <v/>
      </c>
    </row>
    <row r="189" spans="2:8" ht="15">
      <c r="B189" s="177">
        <v>4</v>
      </c>
      <c r="C189" s="171" t="str">
        <f>TEXT(DATE(YEAR(B$40),MONTH(B$40),DAY(B$40)),"mmm yyyy")&amp;" - "&amp;TEXT(DATE(YEAR(B$51),MONTH(B$51),DAY(B$51)),"mmm yyyy")</f>
        <v>Aug 2020 - Jul 2021</v>
      </c>
      <c r="D189" s="186" t="e">
        <f t="shared" si="18"/>
        <v>#DIV/0!</v>
      </c>
      <c r="E189" s="171">
        <v>0</v>
      </c>
      <c r="F189" s="188" t="e">
        <f t="shared" si="19"/>
        <v>#DIV/0!</v>
      </c>
      <c r="G189" s="172">
        <v>0</v>
      </c>
      <c r="H189" s="326" t="str">
        <f ca="1">IF(AND(TODAY()&gt;=B40,TODAY()&lt;=B51),CHAR(10)&amp;"(to date)","")</f>
        <v xml:space="preserve">
(to date)</v>
      </c>
    </row>
    <row r="190" spans="2:8" ht="15">
      <c r="B190" s="177">
        <v>5</v>
      </c>
      <c r="C190" s="171" t="str">
        <f>TEXT(DATE(YEAR(B$52),MONTH(B$52),DAY(B$52)),"mmm yyyy")&amp;" - "&amp;TEXT(DATE(YEAR(B$63),MONTH(B$63),DAY(B$63)),"mmm yyyy")</f>
        <v>Aug 2021 - Jul 2022</v>
      </c>
      <c r="D190" s="186" t="e">
        <f t="shared" si="18"/>
        <v>#DIV/0!</v>
      </c>
      <c r="E190" s="132">
        <v>0</v>
      </c>
      <c r="F190" s="188" t="e">
        <f t="shared" si="19"/>
        <v>#DIV/0!</v>
      </c>
      <c r="G190" s="172">
        <v>0</v>
      </c>
      <c r="H190" s="326" t="str">
        <f ca="1">IF(AND(TODAY()&gt;=B52,TODAY()&lt;=B63),CHAR(10)&amp;"(to date)","")</f>
        <v/>
      </c>
    </row>
    <row r="191" spans="2:8" ht="15">
      <c r="B191" s="177">
        <v>6</v>
      </c>
      <c r="C191" s="171" t="str">
        <f>TEXT(DATE(YEAR(B$64),MONTH(B$64),DAY(B$64)),"mmm yyyy")&amp;" - "&amp;TEXT(DATE(YEAR(B$75),MONTH(B$75),DAY(B$75)),"mmm yyyy")</f>
        <v>Aug 2022 - Jul 2023</v>
      </c>
      <c r="D191" s="186" t="e">
        <f t="shared" si="18"/>
        <v>#DIV/0!</v>
      </c>
      <c r="E191" s="132">
        <v>0</v>
      </c>
      <c r="F191" s="188" t="e">
        <f t="shared" si="19"/>
        <v>#DIV/0!</v>
      </c>
      <c r="G191" s="172">
        <v>0</v>
      </c>
      <c r="H191" s="326" t="str">
        <f ca="1">IF(AND(TODAY()&gt;=B64,TODAY()&lt;=B75),CHAR(10)&amp;"(to date)","")</f>
        <v/>
      </c>
    </row>
    <row r="192" spans="2:8" ht="15">
      <c r="B192" s="177">
        <v>7</v>
      </c>
      <c r="C192" s="171" t="str">
        <f>TEXT(DATE(YEAR(B$76),MONTH(B$76),DAY(B$76)),"mmm yyyy")&amp;" - "&amp;TEXT(DATE(YEAR(B$87),MONTH(B$87),DAY(B$87)),"mmm yyyy")</f>
        <v>Aug 2023 - Jul 2024</v>
      </c>
      <c r="D192" s="186" t="e">
        <f t="shared" si="18"/>
        <v>#DIV/0!</v>
      </c>
      <c r="E192" s="132">
        <v>0</v>
      </c>
      <c r="F192" s="188" t="e">
        <f t="shared" si="19"/>
        <v>#DIV/0!</v>
      </c>
      <c r="G192" s="172">
        <v>0</v>
      </c>
      <c r="H192" s="326" t="str">
        <f ca="1">IF(AND(TODAY()&gt;=B76,TODAY()&lt;=B87),CHAR(10)&amp;"(to date)","")</f>
        <v/>
      </c>
    </row>
    <row r="193" spans="2:8" ht="15" thickBot="1">
      <c r="B193" s="187"/>
      <c r="C193" s="105"/>
      <c r="D193" s="105"/>
      <c r="E193" s="105"/>
      <c r="F193" s="105"/>
      <c r="G193" s="183"/>
      <c r="H193" s="327"/>
    </row>
    <row r="195" ht="15">
      <c r="B195" t="s">
        <v>162</v>
      </c>
    </row>
    <row r="196" spans="4:18" ht="51" customHeight="1">
      <c r="D196" s="52" t="s">
        <v>163</v>
      </c>
      <c r="E196" t="s">
        <v>167</v>
      </c>
      <c r="F196" t="s">
        <v>168</v>
      </c>
      <c r="G196" s="316" t="str">
        <f>IF((SUMPRODUCT(--(Table4[Year]=1),--(Table4[Avg effluent NH3]&lt;&gt;""))+SUMPRODUCT(--(Table4[Year]=2),--(Table4[Avg effluent NH3]&lt;&gt;"")))&lt;=(SUMPRODUCT(--(Table4[Year]=1),--(Table4[Avg effluent TKN]&lt;&gt;""))+SUMPRODUCT(--(Table4[Year]=2),--(Table4[Avg effluent TKN]&lt;&gt;""))),"Avg Effluent TKN (mg/L)","Avg Effluent NH3 (mg/L)")</f>
        <v>Avg Effluent TKN (mg/L)</v>
      </c>
      <c r="H196" s="52" t="s">
        <v>164</v>
      </c>
      <c r="I196" s="52" t="s">
        <v>169</v>
      </c>
      <c r="J196" s="52" t="s">
        <v>174</v>
      </c>
      <c r="K196" s="374" t="s">
        <v>185</v>
      </c>
      <c r="L196" s="396" t="s">
        <v>198</v>
      </c>
      <c r="M196" s="396"/>
      <c r="N196" s="52" t="s">
        <v>165</v>
      </c>
      <c r="O196" s="52" t="s">
        <v>166</v>
      </c>
      <c r="P196" s="52" t="s">
        <v>122</v>
      </c>
      <c r="Q196" s="314" t="s">
        <v>186</v>
      </c>
      <c r="R196" s="52" t="s">
        <v>199</v>
      </c>
    </row>
    <row r="197" spans="2:17" ht="29">
      <c r="B197" t="s">
        <v>106</v>
      </c>
      <c r="C197" s="52" t="str">
        <f>"Baseline: "&amp;TEXT(DATE(YEAR(B$4),MONTH(B$4),DAY(B$4)),"mmm yyyy")&amp;" - "&amp;TEXT(DATE(YEAR(B$27),MONTH(B$27),DAY(B$27)),"mmm yyyy")</f>
        <v>Baseline: Aug 2017 - Jul 2019</v>
      </c>
      <c r="D197" s="58" t="e">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#DIV/0!</v>
      </c>
      <c r="E197" s="58" t="e">
        <f>(SUMPRODUCT(--(Table4[Year]=1),Table4[Avg effluent NH3])+SUMPRODUCT(--(Table4[Year]=2),Table4[Avg effluent NH3]))/(SUMPRODUCT(--(Table4[Year]=1),--(Table4[Avg effluent NH3]&lt;&gt;""))+SUMPRODUCT(--(Table4[Year]=2),--(Table4[Avg effluent NH3]&lt;&gt;"")))</f>
        <v>#DIV/0!</v>
      </c>
      <c r="F197" s="58" t="e">
        <f>(SUMPRODUCT(--(Table4[Year]=1),Table4[Avg effluent TKN])+SUMPRODUCT(--(Table4[Year]=2),Table4[Avg effluent TKN]))/(SUMPRODUCT(--(Table4[Year]=1),--(Table4[Avg effluent TKN]&lt;&gt;""))+SUMPRODUCT(--(Table4[Year]=2),--(Table4[Avg effluent TKN]&lt;&gt;"")))</f>
        <v>#DIV/0!</v>
      </c>
      <c r="G197" s="58" t="e">
        <f>IF($G$196="Avg Effluent TKN (mg/L)",F197,E197)</f>
        <v>#DIV/0!</v>
      </c>
      <c r="H197" s="58" t="e">
        <f>(SUMPRODUCT(--(Table4[Year]=1),Table4[Avg effluent NOx])+SUMPRODUCT(--(Table4[Year]=2),Table4[Avg effluent NOx]))/(SUMPRODUCT(--(Table4[Year]=1),--(Table4[Avg effluent NOx]&lt;&gt;""))+SUMPRODUCT(--(Table4[Year]=2),--(Table4[Avg effluent NOx]&lt;&gt;"")))</f>
        <v>#DIV/0!</v>
      </c>
      <c r="I197" s="189" t="e">
        <f>(SUMPRODUCT(--(Table4[Year]=1),Table4[Approx TN removal (lbs)])+SUMPRODUCT(--(Table4[Year]=2),Table4[Approx TN removal (lbs)]))/(SUMPRODUCT(--(Table4[Year]=1),--(Table4[Approx TN removal (lbs)]&lt;&gt;""))+SUMPRODUCT(--(Table4[Year]=2),--(Table4[Approx TN removal (lbs)]&lt;&gt;"")))</f>
        <v>#DIV/0!</v>
      </c>
      <c r="J197" s="323" t="e">
        <f>ROUND((I197*12/2000),1)</f>
        <v>#DIV/0!</v>
      </c>
      <c r="K197" t="s">
        <v>134</v>
      </c>
      <c r="N197" s="58" t="e">
        <f>(SUMPRODUCT(--(Table4[Year]=1),Table4[Avg influent TP])+SUMPRODUCT(--(Table4[Year]=2),Table4[Avg influent TP]))/(SUMPRODUCT(--(Table4[Year]=1),--(Table4[Avg influent TP]&lt;&gt;""))+SUMPRODUCT(--(Table4[Year]=2),--(Table4[Avg influent TP]&lt;&gt;"")))</f>
        <v>#DIV/0!</v>
      </c>
      <c r="O197" s="58" t="e">
        <f>(SUMPRODUCT(--(Table4[Year]=1),Table4[Avg effluent TP])+SUMPRODUCT(--(Table4[Year]=2),Table4[Avg effluent TP]))/(SUMPRODUCT(--(Table4[Year]=1),--(Table4[Avg effluent TP]&lt;&gt;""))+SUMPRODUCT(--(Table4[Year]=2),--(Table4[Avg effluent TP]&lt;&gt;"")))</f>
        <v>#DIV/0!</v>
      </c>
      <c r="P197" s="189" t="e">
        <f>(SUMPRODUCT(--(Table4[Year]=1),Table4[Calculated TP removal (lbs)])+SUMPRODUCT(--(Table4[Year]=2),Table4[Calculated TP removal (lbs)]))/(SUMPRODUCT(--(Table4[Year]=1),--(Table4[Calculated TP removal (lbs)]&lt;&gt;""))+SUMPRODUCT(--(Table4[Year]=2),--(Table4[Calculated TP removal (lbs)]&lt;&gt;"")))</f>
        <v>#DIV/0!</v>
      </c>
      <c r="Q197" t="s">
        <v>134</v>
      </c>
    </row>
    <row r="198" spans="4:16" ht="15">
      <c r="D198" s="58"/>
      <c r="E198" s="58"/>
      <c r="F198" s="58"/>
      <c r="G198" s="58"/>
      <c r="H198" s="58"/>
      <c r="J198" s="324"/>
      <c r="N198" s="58"/>
      <c r="O198" s="58"/>
      <c r="P198" s="189"/>
    </row>
    <row r="199" spans="2:18" ht="15">
      <c r="B199">
        <v>3</v>
      </c>
      <c r="C199" t="str">
        <f>TEXT(DATE(YEAR(B$28),MONTH(B$28),DAY(B$28)),"mmm yyyy")&amp;" - "&amp;TEXT(DATE(YEAR(B$39),MONTH(B$39),DAY(B$39)),"mmm yyyy")</f>
        <v>Aug 2019 - Jul 2020</v>
      </c>
      <c r="D199" s="58" t="e">
        <f>SUMPRODUCT(--(Table4[Year]=B199),Table4[Avg influent TKN])/SUMPRODUCT(--(Table4[Year]=B199),--(Table4[Avg influent TKN]&lt;&gt;""))+SUMPRODUCT(--(Table4[Year]=B199),Table4[Avg influent NOx])/SUMPRODUCT(--(Table4[Year]=B199),--(Table4[Avg influent NOx]&lt;&gt;""))</f>
        <v>#DIV/0!</v>
      </c>
      <c r="E199" s="58" t="e">
        <f>SUMPRODUCT(--(Table4[Year]=B199),Table4[Avg effluent NH3])/SUMPRODUCT(--(Table4[Year]=B199),--(Table4[Avg effluent NH3]&lt;&gt;""))</f>
        <v>#DIV/0!</v>
      </c>
      <c r="F199" s="58" t="e">
        <f>SUMPRODUCT(--(Table4[Year]=B199),Table4[Avg effluent TKN])/SUMPRODUCT(--(Table4[Year]=B199),--(Table4[Avg effluent TKN]&lt;&gt;""))</f>
        <v>#DIV/0!</v>
      </c>
      <c r="G199" s="58" t="e">
        <f aca="true" t="shared" si="20" ref="G199:G204">IF($G$196="Avg Effluent TKN (mg/L)",F199,E199)</f>
        <v>#DIV/0!</v>
      </c>
      <c r="H199" s="58" t="e">
        <f>SUMPRODUCT(--(Table4[Year]=B199),Table4[Avg effluent NOx])/SUMPRODUCT(--(Table4[Year]=B199),--(Table4[Avg effluent NOx]&lt;&gt;""))</f>
        <v>#DIV/0!</v>
      </c>
      <c r="I199" s="166" t="e">
        <f>SUMPRODUCT(--(Table4[Year]=B199),Table4[Approx TN removal (lbs)])/SUMPRODUCT(--(Table4[Year]=B199),--(Table4[Approx TN removal (lbs)]&lt;&gt;""))</f>
        <v>#DIV/0!</v>
      </c>
      <c r="J199" s="323" t="e">
        <f>ROUND((I199*12/2000),1)</f>
        <v>#DIV/0!</v>
      </c>
      <c r="K199" s="323" t="str">
        <f>IF(L199="Yes",_xlfn.IFERROR(D199*8.34*SUMPRODUCT(--(Table4[Year]=B199),Table4[Monthly Flow])*(((D199-(G199+H199))/D199)-(D$197-(G$197+H$197))/D$197),""),"")</f>
        <v/>
      </c>
      <c r="L199" s="397" t="str">
        <f>IF(SUMPRODUCT(--(Table4[Year]=B199),--(Table4[Approx TN removal (lbs)]&lt;&gt;""))&lt;(SUMPRODUCT(--(Table4[Year]=B199),--(Table4[Avg Daily Flow]&lt;&gt;"")))/3,"No","Yes")</f>
        <v>Yes</v>
      </c>
      <c r="M199" s="397"/>
      <c r="N199" s="58" t="e">
        <f>SUMPRODUCT(--(Table4[Year]=B199),Table4[Avg influent TP])/SUMPRODUCT(--(Table4[Year]=B199),--(Table4[Avg influent TP]&lt;&gt;""))</f>
        <v>#DIV/0!</v>
      </c>
      <c r="O199" s="58" t="e">
        <f>SUMPRODUCT(--(Table4[Year]=B199),Table4[Avg effluent TP])/SUMPRODUCT(--(Table4[Year]=B199),--(Table4[Avg effluent TP]&lt;&gt;""))</f>
        <v>#DIV/0!</v>
      </c>
      <c r="P199" s="189" t="e">
        <f>(SUMPRODUCT(--(Table4[Year]=B199),Table4[Calculated TP removal (lbs)]))/(SUMPRODUCT(--(Table4[Year]=B199),--(Table4[Calculated TP removal (lbs)]&lt;&gt;"")))</f>
        <v>#DIV/0!</v>
      </c>
      <c r="Q199" s="189" t="str">
        <f>IF(R199="Yes",_xlfn.IFERROR(N199*8.34*SUMPRODUCT(--(Table4[Year]=B199),Table4[Monthly Flow])*(((N199-O199)/N199)-(N$197-O$197)/N$197),""),"")</f>
        <v/>
      </c>
      <c r="R199" t="str">
        <f>IF(SUMPRODUCT(--(Table4[Year]=B199),--(Table4[Calculated TP removal (lbs)]&lt;&gt;""))&lt;(SUMPRODUCT(--(Table4[Year]=B199),--(Table4[Avg Daily Flow]&lt;&gt;"")))/3,"No","Yes")</f>
        <v>Yes</v>
      </c>
    </row>
    <row r="200" spans="2:18" ht="15">
      <c r="B200">
        <v>4</v>
      </c>
      <c r="C200" t="str">
        <f>TEXT(DATE(YEAR(B$40),MONTH(B$40),DAY(B$40)),"mmm yyyy")&amp;" - "&amp;TEXT(DATE(YEAR(B$51),MONTH(B$51),DAY(B$51)),"mmm yyyy")</f>
        <v>Aug 2020 - Jul 2021</v>
      </c>
      <c r="D200" s="58" t="e">
        <f>SUMPRODUCT(--(Table4[Year]=B200),Table4[Avg influent TKN])/SUMPRODUCT(--(Table4[Year]=B200),--(Table4[Avg influent TKN]&lt;&gt;""))+SUMPRODUCT(--(Table4[Year]=B200),Table4[Avg influent NOx])/SUMPRODUCT(--(Table4[Year]=B200),--(Table4[Avg influent NOx]&lt;&gt;""))</f>
        <v>#DIV/0!</v>
      </c>
      <c r="E200" s="58" t="e">
        <f>SUMPRODUCT(--(Table4[Year]=B200),Table4[Avg effluent NH3])/SUMPRODUCT(--(Table4[Year]=B200),--(Table4[Avg effluent NH3]&lt;&gt;""))</f>
        <v>#DIV/0!</v>
      </c>
      <c r="F200" s="58" t="e">
        <f>SUMPRODUCT(--(Table4[Year]=B200),Table4[Avg effluent TKN])/SUMPRODUCT(--(Table4[Year]=B200),--(Table4[Avg effluent TKN]&lt;&gt;""))</f>
        <v>#DIV/0!</v>
      </c>
      <c r="G200" s="58" t="e">
        <f t="shared" si="20"/>
        <v>#DIV/0!</v>
      </c>
      <c r="H200" s="58" t="e">
        <f>SUMPRODUCT(--(Table4[Year]=B200),Table4[Avg effluent NOx])/SUMPRODUCT(--(Table4[Year]=B200),--(Table4[Avg effluent NOx]&lt;&gt;""))</f>
        <v>#DIV/0!</v>
      </c>
      <c r="I200" s="166" t="e">
        <f>SUMPRODUCT(--(Table4[Year]=B200),Table4[Approx TN removal (lbs)])/SUMPRODUCT(--(Table4[Year]=B200),--(Table4[Approx TN removal (lbs)]&lt;&gt;""))</f>
        <v>#DIV/0!</v>
      </c>
      <c r="J200" s="323" t="e">
        <f aca="true" t="shared" si="21" ref="J200:J203">ROUND((I200*12/2000),1)</f>
        <v>#DIV/0!</v>
      </c>
      <c r="K200" s="323" t="str">
        <f>IF(L200="Yes",_xlfn.IFERROR(D200*8.34*SUMPRODUCT(--(Table4[Year]=B200),Table4[Monthly Flow])*(((D200-(G200+H200))/D200)-(D$197-(G$197+H$197))/D$197),""),"")</f>
        <v/>
      </c>
      <c r="L200" s="397" t="str">
        <f>IF(SUMPRODUCT(--(Table4[Year]=B200),--(Table4[Approx TN removal (lbs)]&lt;&gt;""))&lt;(SUMPRODUCT(--(Table4[Year]=B200),--(Table4[Avg Daily Flow]&lt;&gt;"")))/3,"No","Yes")</f>
        <v>Yes</v>
      </c>
      <c r="M200" s="397"/>
      <c r="N200" s="58" t="e">
        <f>SUMPRODUCT(--(Table4[Year]=B200),Table4[Avg influent TP])/SUMPRODUCT(--(Table4[Year]=B200),--(Table4[Avg influent TP]&lt;&gt;""))</f>
        <v>#DIV/0!</v>
      </c>
      <c r="O200" s="58" t="e">
        <f>SUMPRODUCT(--(Table4[Year]=B200),Table4[Avg effluent TP])/SUMPRODUCT(--(Table4[Year]=B200),--(Table4[Avg effluent TP]&lt;&gt;""))</f>
        <v>#DIV/0!</v>
      </c>
      <c r="P200" s="189" t="e">
        <f>(SUMPRODUCT(--(Table4[Year]=B200),Table4[Calculated TP removal (lbs)]))/(SUMPRODUCT(--(Table4[Year]=B200),--(Table4[Calculated TP removal (lbs)]&lt;&gt;"")))</f>
        <v>#DIV/0!</v>
      </c>
      <c r="Q200" s="189" t="str">
        <f>IF(R200="Yes",_xlfn.IFERROR(N200*8.34*SUMPRODUCT(--(Table4[Year]=B200),Table4[Monthly Flow])*(((N200-O200)/N200)-(N$197-O$197)/N$197),""),"")</f>
        <v/>
      </c>
      <c r="R200" t="str">
        <f>IF(SUMPRODUCT(--(Table4[Year]=B200),--(Table4[Calculated TP removal (lbs)]&lt;&gt;""))&lt;(SUMPRODUCT(--(Table4[Year]=B200),--(Table4[Avg Daily Flow]&lt;&gt;"")))/3,"No","Yes")</f>
        <v>Yes</v>
      </c>
    </row>
    <row r="201" spans="2:18" ht="15">
      <c r="B201">
        <v>5</v>
      </c>
      <c r="C201" t="str">
        <f>TEXT(DATE(YEAR(B$52),MONTH(B$52),DAY(B$52)),"mmm yyyy")&amp;" - "&amp;TEXT(DATE(YEAR(B$63),MONTH(B$63),DAY(B$63)),"mmm yyyy")</f>
        <v>Aug 2021 - Jul 2022</v>
      </c>
      <c r="D201" s="58" t="e">
        <f>SUMPRODUCT(--(Table4[Year]=B201),Table4[Avg influent TKN])/SUMPRODUCT(--(Table4[Year]=B201),--(Table4[Avg influent TKN]&lt;&gt;""))+SUMPRODUCT(--(Table4[Year]=B201),Table4[Avg influent NOx])/SUMPRODUCT(--(Table4[Year]=B201),--(Table4[Avg influent NOx]&lt;&gt;""))</f>
        <v>#DIV/0!</v>
      </c>
      <c r="E201" s="58" t="e">
        <f>SUMPRODUCT(--(Table4[Year]=B201),Table4[Avg effluent NH3])/SUMPRODUCT(--(Table4[Year]=B201),--(Table4[Avg effluent NH3]&lt;&gt;""))</f>
        <v>#DIV/0!</v>
      </c>
      <c r="F201" s="58" t="e">
        <f>SUMPRODUCT(--(Table4[Year]=B201),Table4[Avg effluent TKN])/SUMPRODUCT(--(Table4[Year]=B201),--(Table4[Avg effluent TKN]&lt;&gt;""))</f>
        <v>#DIV/0!</v>
      </c>
      <c r="G201" s="58" t="e">
        <f t="shared" si="20"/>
        <v>#DIV/0!</v>
      </c>
      <c r="H201" s="58" t="e">
        <f>SUMPRODUCT(--(Table4[Year]=B201),Table4[Avg effluent NOx])/SUMPRODUCT(--(Table4[Year]=B201),--(Table4[Avg effluent NOx]&lt;&gt;""))</f>
        <v>#DIV/0!</v>
      </c>
      <c r="I201" s="166" t="e">
        <f>SUMPRODUCT(--(Table4[Year]=B201),Table4[Approx TN removal (lbs)])/SUMPRODUCT(--(Table4[Year]=B201),--(Table4[Approx TN removal (lbs)]&lt;&gt;""))</f>
        <v>#DIV/0!</v>
      </c>
      <c r="J201" s="323" t="e">
        <f t="shared" si="21"/>
        <v>#DIV/0!</v>
      </c>
      <c r="K201" s="323" t="str">
        <f>IF(L201="Yes",_xlfn.IFERROR(D201*8.34*SUMPRODUCT(--(Table4[Year]=B201),Table4[Monthly Flow])*(((D201-(G201+H201))/D201)-(D$197-(G$197+H$197))/D$197),""),"")</f>
        <v/>
      </c>
      <c r="L201" s="397" t="str">
        <f>IF(SUMPRODUCT(--(Table4[Year]=B201),--(Table4[Approx TN removal (lbs)]&lt;&gt;""))&lt;(SUMPRODUCT(--(Table4[Year]=B201),--(Table4[Avg Daily Flow]&lt;&gt;"")))/3,"No","Yes")</f>
        <v>Yes</v>
      </c>
      <c r="M201" s="397"/>
      <c r="N201" s="58" t="e">
        <f>SUMPRODUCT(--(Table4[Year]=B201),Table4[Avg influent TP])/SUMPRODUCT(--(Table4[Year]=B201),--(Table4[Avg influent TP]&lt;&gt;""))</f>
        <v>#DIV/0!</v>
      </c>
      <c r="O201" s="58" t="e">
        <f>SUMPRODUCT(--(Table4[Year]=B201),Table4[Avg effluent TP])/SUMPRODUCT(--(Table4[Year]=B201),--(Table4[Avg effluent TP]&lt;&gt;""))</f>
        <v>#DIV/0!</v>
      </c>
      <c r="P201" s="189" t="e">
        <f>(SUMPRODUCT(--(Table4[Year]=B201),Table4[Calculated TP removal (lbs)]))/(SUMPRODUCT(--(Table4[Year]=B201),--(Table4[Calculated TP removal (lbs)]&lt;&gt;"")))</f>
        <v>#DIV/0!</v>
      </c>
      <c r="Q201" s="189" t="str">
        <f>IF(R201="Yes",_xlfn.IFERROR(N201*8.34*SUMPRODUCT(--(Table4[Year]=B201),Table4[Monthly Flow])*(((N201-O201)/N201)-(N$197-O$197)/N$197),""),"")</f>
        <v/>
      </c>
      <c r="R201" t="str">
        <f>IF(SUMPRODUCT(--(Table4[Year]=B201),--(Table4[Calculated TP removal (lbs)]&lt;&gt;""))&lt;(SUMPRODUCT(--(Table4[Year]=B201),--(Table4[Avg Daily Flow]&lt;&gt;"")))/3,"No","Yes")</f>
        <v>Yes</v>
      </c>
    </row>
    <row r="202" spans="2:18" ht="15">
      <c r="B202">
        <v>6</v>
      </c>
      <c r="C202" t="str">
        <f>TEXT(DATE(YEAR(B$64),MONTH(B$64),DAY(B$64)),"mmm yyyy")&amp;" - "&amp;TEXT(DATE(YEAR(B$75),MONTH(B$75),DAY(B$75)),"mmm yyyy")</f>
        <v>Aug 2022 - Jul 2023</v>
      </c>
      <c r="D202" s="58" t="e">
        <f>SUMPRODUCT(--(Table4[Year]=B202),Table4[Avg influent TKN])/SUMPRODUCT(--(Table4[Year]=B202),--(Table4[Avg influent TKN]&lt;&gt;""))+SUMPRODUCT(--(Table4[Year]=B202),Table4[Avg influent NOx])/SUMPRODUCT(--(Table4[Year]=B202),--(Table4[Avg influent NOx]&lt;&gt;""))</f>
        <v>#DIV/0!</v>
      </c>
      <c r="E202" s="58" t="e">
        <f>SUMPRODUCT(--(Table4[Year]=B202),Table4[Avg effluent NH3])/SUMPRODUCT(--(Table4[Year]=B202),--(Table4[Avg effluent NH3]&lt;&gt;""))</f>
        <v>#DIV/0!</v>
      </c>
      <c r="F202" s="58" t="e">
        <f>SUMPRODUCT(--(Table4[Year]=B202),Table4[Avg effluent TKN])/SUMPRODUCT(--(Table4[Year]=B202),--(Table4[Avg effluent TKN]&lt;&gt;""))</f>
        <v>#DIV/0!</v>
      </c>
      <c r="G202" s="58" t="e">
        <f t="shared" si="20"/>
        <v>#DIV/0!</v>
      </c>
      <c r="H202" s="58" t="e">
        <f>SUMPRODUCT(--(Table4[Year]=B202),Table4[Avg effluent NOx])/SUMPRODUCT(--(Table4[Year]=B202),--(Table4[Avg effluent NOx]&lt;&gt;""))</f>
        <v>#DIV/0!</v>
      </c>
      <c r="I202" s="166" t="e">
        <f>SUMPRODUCT(--(Table4[Year]=B202),Table4[Approx TN removal (lbs)])/SUMPRODUCT(--(Table4[Year]=B202),--(Table4[Approx TN removal (lbs)]&lt;&gt;""))</f>
        <v>#DIV/0!</v>
      </c>
      <c r="J202" s="323" t="e">
        <f t="shared" si="21"/>
        <v>#DIV/0!</v>
      </c>
      <c r="K202" s="323" t="str">
        <f>IF(L202="Yes",_xlfn.IFERROR(D202*8.34*SUMPRODUCT(--(Table4[Year]=B202),Table4[Monthly Flow])*(((D202-(G202+H202))/D202)-(D$197-(G$197+H$197))/D$197),""),"")</f>
        <v/>
      </c>
      <c r="L202" s="397" t="str">
        <f>IF(SUMPRODUCT(--(Table4[Year]=B202),--(Table4[Approx TN removal (lbs)]&lt;&gt;""))&lt;(SUMPRODUCT(--(Table4[Year]=B202),--(Table4[Avg Daily Flow]&lt;&gt;"")))/3,"No","Yes")</f>
        <v>Yes</v>
      </c>
      <c r="M202" s="397"/>
      <c r="N202" s="58" t="e">
        <f>SUMPRODUCT(--(Table4[Year]=B202),Table4[Avg influent TP])/SUMPRODUCT(--(Table4[Year]=B202),--(Table4[Avg influent TP]&lt;&gt;""))</f>
        <v>#DIV/0!</v>
      </c>
      <c r="O202" s="58" t="e">
        <f>SUMPRODUCT(--(Table4[Year]=B202),Table4[Avg effluent TP])/SUMPRODUCT(--(Table4[Year]=B202),--(Table4[Avg effluent TP]&lt;&gt;""))</f>
        <v>#DIV/0!</v>
      </c>
      <c r="P202" s="189" t="e">
        <f>(SUMPRODUCT(--(Table4[Year]=B202),Table4[Calculated TP removal (lbs)]))/(SUMPRODUCT(--(Table4[Year]=B202),--(Table4[Calculated TP removal (lbs)]&lt;&gt;"")))</f>
        <v>#DIV/0!</v>
      </c>
      <c r="Q202" s="189" t="str">
        <f>IF(R202="Yes",_xlfn.IFERROR(N202*8.34*SUMPRODUCT(--(Table4[Year]=B202),Table4[Monthly Flow])*(((N202-O202)/N202)-(N$197-O$197)/N$197),""),"")</f>
        <v/>
      </c>
      <c r="R202" t="str">
        <f>IF(SUMPRODUCT(--(Table4[Year]=B202),--(Table4[Calculated TP removal (lbs)]&lt;&gt;""))&lt;(SUMPRODUCT(--(Table4[Year]=B202),--(Table4[Avg Daily Flow]&lt;&gt;"")))/3,"No","Yes")</f>
        <v>Yes</v>
      </c>
    </row>
    <row r="203" spans="2:18" ht="15">
      <c r="B203">
        <v>7</v>
      </c>
      <c r="C203" t="str">
        <f>TEXT(DATE(YEAR(B$76),MONTH(B$76),DAY(B$76)),"mmm yyyy")&amp;" - "&amp;TEXT(DATE(YEAR(B$87),MONTH(B$87),DAY(B$87)),"mmm yyyy")</f>
        <v>Aug 2023 - Jul 2024</v>
      </c>
      <c r="D203" s="58" t="e">
        <f>SUMPRODUCT(--(Table4[Year]=B203),Table4[Avg influent TKN])/SUMPRODUCT(--(Table4[Year]=B203),--(Table4[Avg influent TKN]&lt;&gt;""))+SUMPRODUCT(--(Table4[Year]=B203),Table4[Avg influent NOx])/SUMPRODUCT(--(Table4[Year]=B203),--(Table4[Avg influent NOx]&lt;&gt;""))</f>
        <v>#DIV/0!</v>
      </c>
      <c r="E203" s="58" t="e">
        <f>SUMPRODUCT(--(Table4[Year]=B203),Table4[Avg effluent NH3])/SUMPRODUCT(--(Table4[Year]=B203),--(Table4[Avg effluent NH3]&lt;&gt;""))</f>
        <v>#DIV/0!</v>
      </c>
      <c r="F203" s="58" t="e">
        <f>SUMPRODUCT(--(Table4[Year]=B203),Table4[Avg effluent TKN])/SUMPRODUCT(--(Table4[Year]=B203),--(Table4[Avg effluent TKN]&lt;&gt;""))</f>
        <v>#DIV/0!</v>
      </c>
      <c r="G203" s="58" t="e">
        <f t="shared" si="20"/>
        <v>#DIV/0!</v>
      </c>
      <c r="H203" s="58" t="e">
        <f>SUMPRODUCT(--(Table4[Year]=B203),Table4[Avg effluent NOx])/SUMPRODUCT(--(Table4[Year]=B203),--(Table4[Avg effluent NOx]&lt;&gt;""))</f>
        <v>#DIV/0!</v>
      </c>
      <c r="I203" s="166" t="e">
        <f>SUMPRODUCT(--(Table4[Year]=B203),Table4[Approx TN removal (lbs)])/SUMPRODUCT(--(Table4[Year]=B203),--(Table4[Approx TN removal (lbs)]&lt;&gt;""))</f>
        <v>#DIV/0!</v>
      </c>
      <c r="J203" s="323" t="e">
        <f t="shared" si="21"/>
        <v>#DIV/0!</v>
      </c>
      <c r="K203" s="323" t="str">
        <f>IF(L203="Yes",_xlfn.IFERROR(D203*8.34*SUMPRODUCT(--(Table4[Year]=B203),Table4[Monthly Flow])*(((D203-(G203+H203))/D203)-(D$197-(G$197+H$197))/D$197),""),"")</f>
        <v/>
      </c>
      <c r="L203" s="397" t="str">
        <f>IF(SUMPRODUCT(--(Table4[Year]=B203),--(Table4[Approx TN removal (lbs)]&lt;&gt;""))&lt;(SUMPRODUCT(--(Table4[Year]=B203),--(Table4[Avg Daily Flow]&lt;&gt;"")))/3,"No","Yes")</f>
        <v>Yes</v>
      </c>
      <c r="M203" s="397"/>
      <c r="N203" s="58" t="e">
        <f>SUMPRODUCT(--(Table4[Year]=B203),Table4[Avg influent TP])/SUMPRODUCT(--(Table4[Year]=B203),--(Table4[Avg influent TP]&lt;&gt;""))</f>
        <v>#DIV/0!</v>
      </c>
      <c r="O203" s="58" t="e">
        <f>SUMPRODUCT(--(Table4[Year]=B203),Table4[Avg effluent TP])/SUMPRODUCT(--(Table4[Year]=B203),--(Table4[Avg effluent TP]&lt;&gt;""))</f>
        <v>#DIV/0!</v>
      </c>
      <c r="P203" s="189" t="e">
        <f>(SUMPRODUCT(--(Table4[Year]=B203),Table4[Calculated TP removal (lbs)]))/(SUMPRODUCT(--(Table4[Year]=B203),--(Table4[Calculated TP removal (lbs)]&lt;&gt;"")))</f>
        <v>#DIV/0!</v>
      </c>
      <c r="Q203" s="189" t="str">
        <f>IF(R203="Yes",_xlfn.IFERROR(N203*8.34*SUMPRODUCT(--(Table4[Year]=B203),Table4[Monthly Flow])*(((N203-O203)/N203)-(N$197-O$197)/N$197),""),"")</f>
        <v/>
      </c>
      <c r="R203" t="str">
        <f>IF(SUMPRODUCT(--(Table4[Year]=B203),--(Table4[Calculated TP removal (lbs)]&lt;&gt;""))&lt;(SUMPRODUCT(--(Table4[Year]=B203),--(Table4[Avg Daily Flow]&lt;&gt;"")))/3,"No","Yes")</f>
        <v>Yes</v>
      </c>
    </row>
    <row r="204" spans="3:17" ht="15">
      <c r="C204" t="s">
        <v>141</v>
      </c>
      <c r="D204" s="157" t="e">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#DIV/0!</v>
      </c>
      <c r="E204" s="157" t="e">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#DIV/0!</v>
      </c>
      <c r="F204" s="157" t="e">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#DIV/0!</v>
      </c>
      <c r="G204" s="157" t="e">
        <f t="shared" si="20"/>
        <v>#DIV/0!</v>
      </c>
      <c r="H204" s="157" t="e">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#DIV/0!</v>
      </c>
      <c r="I204" s="157" t="e">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#DIV/0!</v>
      </c>
      <c r="K204" s="58">
        <f>SUM(K199:K203)</f>
        <v>0</v>
      </c>
      <c r="N204" s="157" t="e">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#DIV/0!</v>
      </c>
      <c r="O204" s="157" t="e">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#DIV/0!</v>
      </c>
      <c r="P204" s="157" t="e">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#DIV/0!</v>
      </c>
      <c r="Q204" s="189">
        <f>SUM(Q199:Q203)</f>
        <v>0</v>
      </c>
    </row>
    <row r="207" ht="15">
      <c r="K207" s="373"/>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E10">
      <selection activeCell="K34" sqref="K34"/>
    </sheetView>
  </sheetViews>
  <sheetFormatPr defaultColWidth="9.140625" defaultRowHeight="15"/>
  <cols>
    <col min="1" max="16384" width="9.140625" style="487"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2021-04-28T18:48:55Z</dcterms:modified>
  <cp:category/>
  <cp:version/>
  <cp:contentType/>
  <cp:contentStatus/>
</cp:coreProperties>
</file>